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dasme\Mis documentos\Downloads\"/>
    </mc:Choice>
  </mc:AlternateContent>
  <xr:revisionPtr revIDLastSave="0" documentId="8_{3365249D-4D01-427E-BCE1-0B24FC19BB44}" xr6:coauthVersionLast="47" xr6:coauthVersionMax="47" xr10:uidLastSave="{00000000-0000-0000-0000-000000000000}"/>
  <bookViews>
    <workbookView xWindow="28680" yWindow="-120" windowWidth="29040" windowHeight="15840" xr2:uid="{3A035EF9-767E-4930-AD2F-ACB4650F5D66}"/>
  </bookViews>
  <sheets>
    <sheet name="Ejercici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Ejercicio!$B$2:$V$38</definedName>
    <definedName name="CERTIFICADO" localSheetId="0">#REF!</definedName>
    <definedName name="CERTIFICADO">#REF!</definedName>
    <definedName name="Codigo" localSheetId="0">#REF!</definedName>
    <definedName name="Codigo">#REF!</definedName>
    <definedName name="FECHAACT">[3]bien!$F$2</definedName>
    <definedName name="GVKey">""</definedName>
    <definedName name="INVERSION" localSheetId="0">#REF!</definedName>
    <definedName name="INVERSION">#REF!</definedName>
    <definedName name="operacion" localSheetId="0">#REF!</definedName>
    <definedName name="operacion">#REF!</definedName>
    <definedName name="OPERACION1" localSheetId="0">#REF!</definedName>
    <definedName name="OPERACION1">#REF!</definedName>
    <definedName name="SPSet">"current"</definedName>
    <definedName name="SPWS_WBID">""</definedName>
    <definedName name="TopRankDefaultDistForRange" hidden="1">0</definedName>
    <definedName name="TopRankDefaultMaxChange" hidden="1">"0,1"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"0,01"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"Libro de trabajo activo"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v">'[4]Registrar  AT.Actual'!$A$2:$B$182</definedName>
    <definedName name="x">'[4]Registrar  AT.-1'!$A:$B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4" i="1" l="1"/>
  <c r="AB46" i="1" s="1"/>
  <c r="X40" i="1"/>
  <c r="P40" i="1"/>
  <c r="C40" i="1"/>
  <c r="P39" i="1"/>
  <c r="C39" i="1"/>
  <c r="G33" i="1"/>
  <c r="G32" i="1"/>
  <c r="G22" i="1"/>
  <c r="X21" i="1"/>
  <c r="H15" i="1"/>
  <c r="G15" i="1" s="1"/>
  <c r="T11" i="1"/>
  <c r="T12" i="1" s="1"/>
  <c r="T19" i="1" s="1"/>
  <c r="F11" i="1"/>
  <c r="S11" i="1" s="1"/>
  <c r="S12" i="1" s="1"/>
  <c r="S19" i="1" s="1"/>
  <c r="G10" i="1"/>
  <c r="W59" i="1" l="1"/>
  <c r="W48" i="1"/>
  <c r="U11" i="1"/>
  <c r="U12" i="1" s="1"/>
  <c r="U19" i="1" s="1"/>
  <c r="H11" i="1"/>
  <c r="I11" i="1"/>
  <c r="I12" i="1" s="1"/>
  <c r="I19" i="1" s="1"/>
  <c r="J11" i="1"/>
  <c r="J12" i="1" s="1"/>
  <c r="J19" i="1" s="1"/>
  <c r="J41" i="1" s="1"/>
  <c r="K11" i="1"/>
  <c r="K12" i="1" s="1"/>
  <c r="K19" i="1" s="1"/>
  <c r="K41" i="1" s="1"/>
  <c r="L11" i="1"/>
  <c r="L12" i="1" s="1"/>
  <c r="L19" i="1" s="1"/>
  <c r="L41" i="1" s="1"/>
  <c r="M11" i="1"/>
  <c r="M12" i="1" s="1"/>
  <c r="M19" i="1" s="1"/>
  <c r="M41" i="1" s="1"/>
  <c r="N11" i="1"/>
  <c r="N12" i="1" s="1"/>
  <c r="N19" i="1" s="1"/>
  <c r="O11" i="1"/>
  <c r="O12" i="1" s="1"/>
  <c r="O19" i="1" s="1"/>
  <c r="P11" i="1"/>
  <c r="P12" i="1" s="1"/>
  <c r="P19" i="1" s="1"/>
  <c r="Q11" i="1"/>
  <c r="Q12" i="1" s="1"/>
  <c r="Q19" i="1" s="1"/>
  <c r="R11" i="1"/>
  <c r="R12" i="1" s="1"/>
  <c r="W20" i="1" l="1"/>
  <c r="X20" i="1" s="1"/>
  <c r="W33" i="1"/>
  <c r="X33" i="1" s="1"/>
  <c r="W24" i="1"/>
  <c r="X24" i="1" s="1"/>
  <c r="W19" i="1"/>
  <c r="X19" i="1" s="1"/>
  <c r="X45" i="1"/>
  <c r="H12" i="1"/>
  <c r="G11" i="1"/>
  <c r="G12" i="1" s="1"/>
  <c r="R7" i="1"/>
  <c r="R19" i="1"/>
  <c r="W47" i="1" l="1"/>
  <c r="AD43" i="1"/>
  <c r="H14" i="1"/>
  <c r="G14" i="1" s="1"/>
  <c r="H19" i="1"/>
  <c r="G19" i="1"/>
  <c r="X22" i="1" l="1"/>
  <c r="H23" i="1" s="1"/>
  <c r="AD44" i="1"/>
  <c r="AD46" i="1" s="1"/>
  <c r="X48" i="1" s="1"/>
  <c r="X59" i="1"/>
  <c r="Q23" i="1" l="1"/>
  <c r="X26" i="1"/>
  <c r="N23" i="1"/>
  <c r="N41" i="1" s="1"/>
  <c r="G23" i="1"/>
  <c r="X47" i="1"/>
  <c r="X27" i="1"/>
  <c r="W25" i="1" l="1"/>
  <c r="X25" i="1" s="1"/>
  <c r="H24" i="1" s="1"/>
  <c r="G24" i="1" l="1"/>
  <c r="Q24" i="1"/>
  <c r="Q41" i="1" s="1"/>
  <c r="O24" i="1"/>
  <c r="X30" i="1"/>
  <c r="X31" i="1"/>
  <c r="W29" i="1" l="1"/>
  <c r="X29" i="1" s="1"/>
  <c r="H25" i="1" s="1"/>
  <c r="O25" i="1" l="1"/>
  <c r="O41" i="1" s="1"/>
  <c r="G25" i="1"/>
  <c r="X34" i="1"/>
  <c r="H26" i="1" s="1"/>
  <c r="X35" i="1"/>
  <c r="P26" i="1" l="1"/>
  <c r="G26" i="1"/>
  <c r="X41" i="1"/>
  <c r="W39" i="1" l="1"/>
  <c r="X39" i="1" s="1"/>
  <c r="H29" i="1" s="1"/>
  <c r="G29" i="1" l="1"/>
  <c r="P29" i="1"/>
  <c r="H41" i="1"/>
  <c r="W43" i="1" l="1"/>
  <c r="X43" i="1" s="1"/>
  <c r="X44" i="1"/>
  <c r="I30" i="1" l="1"/>
  <c r="P30" i="1" l="1"/>
  <c r="P41" i="1" s="1"/>
  <c r="G30" i="1"/>
  <c r="X50" i="1"/>
  <c r="X49" i="1" l="1"/>
  <c r="I31" i="1" s="1"/>
  <c r="U31" i="1" l="1"/>
  <c r="T31" i="1"/>
  <c r="R31" i="1"/>
  <c r="G31" i="1"/>
  <c r="I41" i="1"/>
  <c r="G41" i="1" l="1"/>
  <c r="X54" i="1"/>
  <c r="W52" i="1"/>
  <c r="X52" i="1" s="1"/>
  <c r="W53" i="1"/>
  <c r="X53" i="1" s="1"/>
  <c r="F34" i="1" l="1"/>
  <c r="U34" i="1" l="1"/>
  <c r="T34" i="1"/>
  <c r="T41" i="1" s="1"/>
  <c r="R34" i="1"/>
  <c r="X57" i="1"/>
  <c r="W56" i="1" l="1"/>
  <c r="X56" i="1" s="1"/>
  <c r="F35" i="1" s="1"/>
  <c r="U35" i="1" l="1"/>
  <c r="R35" i="1"/>
  <c r="R41" i="1" s="1"/>
  <c r="X60" i="1"/>
  <c r="F36" i="1" s="1"/>
  <c r="U36" i="1" l="1"/>
  <c r="U41" i="1" s="1"/>
  <c r="S36" i="1"/>
  <c r="S41" i="1" s="1"/>
  <c r="V41" i="1" s="1"/>
</calcChain>
</file>

<file path=xl/sharedStrings.xml><?xml version="1.0" encoding="utf-8"?>
<sst xmlns="http://schemas.openxmlformats.org/spreadsheetml/2006/main" count="93" uniqueCount="64">
  <si>
    <t>DESARROLLO</t>
  </si>
  <si>
    <t>I.</t>
  </si>
  <si>
    <t>Registro tributario de rentas empresariales al 31.12.2022</t>
  </si>
  <si>
    <t>Detalle</t>
  </si>
  <si>
    <t>Control</t>
  </si>
  <si>
    <t>RAI</t>
  </si>
  <si>
    <t>DDAN</t>
  </si>
  <si>
    <t>REX</t>
  </si>
  <si>
    <t>SAC</t>
  </si>
  <si>
    <t>RAP</t>
  </si>
  <si>
    <t>ISFUT
Ley N° 20.780
Ley N° 20.899</t>
  </si>
  <si>
    <t>Renta
exentas</t>
  </si>
  <si>
    <t>Ingresos
no renta</t>
  </si>
  <si>
    <t>Acumulado a contar del 01.01.2017</t>
  </si>
  <si>
    <t>Acumulado hasta el 31.12.2016</t>
  </si>
  <si>
    <t>STUT</t>
  </si>
  <si>
    <t>Crédito por IDPC</t>
  </si>
  <si>
    <t>Crédito IPE 2017</t>
  </si>
  <si>
    <t>Factor</t>
  </si>
  <si>
    <t>No sujeto a
Restitución acumulados hasta el 31.12.2019</t>
  </si>
  <si>
    <t>Sujeto a
Restitución</t>
  </si>
  <si>
    <t>SIn
devolución</t>
  </si>
  <si>
    <t>Con
devolución</t>
  </si>
  <si>
    <t>IPE 2016</t>
  </si>
  <si>
    <t>Sin
devolución</t>
  </si>
  <si>
    <t>Remanente anterior…………………………………………………</t>
  </si>
  <si>
    <t>Reajuste anual</t>
  </si>
  <si>
    <t>Remanente reajustado…………………………………………………………………</t>
  </si>
  <si>
    <t>Reverso rentas afectas ejercicio anterior……………………………………….</t>
  </si>
  <si>
    <t>(=) Rentas afectas del ejercicio………………………………………………………………………………………………………………………………………..</t>
  </si>
  <si>
    <t>Crédito por IDPC sobre RLI………………………………………………………………</t>
  </si>
  <si>
    <t>Crédito por IDPC sobre dividendo percibido……………………………</t>
  </si>
  <si>
    <t>Imputación Retiro Sr. Escudero</t>
  </si>
  <si>
    <t>Subtotal antes de imputaciones……………………………………………….</t>
  </si>
  <si>
    <t xml:space="preserve">Crédito S/R C/D </t>
  </si>
  <si>
    <t>Menos:</t>
  </si>
  <si>
    <t>Crédito IPE</t>
  </si>
  <si>
    <t>20.03, Retiros socio Escudero 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</si>
  <si>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Retiro pendiente de asignación</t>
  </si>
  <si>
    <t>RAI con crédito S/R C/D e IPE</t>
  </si>
  <si>
    <t>RAI con crédito C/R S/D e IPE</t>
  </si>
  <si>
    <t xml:space="preserve">Crédito C/R S/D </t>
  </si>
  <si>
    <t>RAI con crédito C/R S/D</t>
  </si>
  <si>
    <t>RAI con crédito C/R C/D</t>
  </si>
  <si>
    <t>13.04, Retiros socia Srta. Arriagada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</si>
  <si>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DDAN con crédito C/R C/D</t>
  </si>
  <si>
    <t>DDAN con crédito S/R e IPE 2016</t>
  </si>
  <si>
    <t>Rents Exentas</t>
  </si>
  <si>
    <t>INR</t>
  </si>
  <si>
    <t xml:space="preserve">Crédito C/R C/D </t>
  </si>
  <si>
    <t>Ret en Ex RRE con crédito S/D e IPE 2016</t>
  </si>
  <si>
    <t>Ret en Ex RRE con crédito S/D 2016</t>
  </si>
  <si>
    <t>Ret en Ex RRE con crédito C/D 2016</t>
  </si>
  <si>
    <t>Ajuste al SAC:</t>
  </si>
  <si>
    <t>Imputación Retiro Srta. Arriagada</t>
  </si>
  <si>
    <t>Remanentes ejercicio siguiente……………………………………………….</t>
  </si>
  <si>
    <t>Crédito S/D 2016</t>
  </si>
  <si>
    <t>Crédito IPE 2016</t>
  </si>
  <si>
    <t>Crédito C/D 2016</t>
  </si>
  <si>
    <t>retiro / 0,65 * 0,27</t>
  </si>
  <si>
    <t>retiro  / 0,65 * 0,08</t>
  </si>
  <si>
    <t>Retiro * 0,369863</t>
  </si>
  <si>
    <t>Sin IPE</t>
  </si>
  <si>
    <t>Con 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</si>
</sst>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0"/>
    <numFmt numFmtId="165" formatCode="#,##0;\(#,##0\)"/>
    <numFmt numFmtId="166" formatCode="0.0%"/>
    <numFmt numFmtId="167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3" fontId="3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3" fontId="3" fillId="0" borderId="6" xfId="0" applyNumberFormat="1" applyFont="1" applyBorder="1"/>
    <xf numFmtId="165" fontId="3" fillId="3" borderId="6" xfId="0" applyNumberFormat="1" applyFont="1" applyFill="1" applyBorder="1"/>
    <xf numFmtId="3" fontId="3" fillId="0" borderId="11" xfId="0" applyNumberFormat="1" applyFont="1" applyBorder="1"/>
    <xf numFmtId="166" fontId="3" fillId="0" borderId="12" xfId="1" applyNumberFormat="1" applyFont="1" applyFill="1" applyBorder="1"/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165" fontId="3" fillId="3" borderId="5" xfId="0" applyNumberFormat="1" applyFont="1" applyFill="1" applyBorder="1"/>
    <xf numFmtId="3" fontId="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165" fontId="3" fillId="0" borderId="11" xfId="0" applyNumberFormat="1" applyFont="1" applyBorder="1"/>
    <xf numFmtId="165" fontId="3" fillId="0" borderId="0" xfId="0" applyNumberFormat="1" applyFont="1"/>
    <xf numFmtId="165" fontId="3" fillId="0" borderId="12" xfId="0" applyNumberFormat="1" applyFont="1" applyBorder="1"/>
    <xf numFmtId="165" fontId="3" fillId="0" borderId="6" xfId="0" applyNumberFormat="1" applyFont="1" applyBorder="1"/>
    <xf numFmtId="165" fontId="3" fillId="0" borderId="11" xfId="0" applyNumberFormat="1" applyFont="1" applyBorder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5" fontId="3" fillId="0" borderId="1" xfId="0" applyNumberFormat="1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left" vertical="center"/>
    </xf>
    <xf numFmtId="165" fontId="3" fillId="0" borderId="3" xfId="0" applyNumberFormat="1" applyFont="1" applyBorder="1" applyAlignment="1">
      <alignment horizontal="left" vertical="center"/>
    </xf>
    <xf numFmtId="165" fontId="3" fillId="0" borderId="5" xfId="0" applyNumberFormat="1" applyFont="1" applyBorder="1" applyAlignment="1">
      <alignment vertical="center"/>
    </xf>
    <xf numFmtId="165" fontId="0" fillId="0" borderId="0" xfId="0" applyNumberFormat="1"/>
    <xf numFmtId="165" fontId="3" fillId="0" borderId="4" xfId="0" applyNumberFormat="1" applyFont="1" applyBorder="1"/>
    <xf numFmtId="165" fontId="3" fillId="3" borderId="12" xfId="0" applyNumberFormat="1" applyFont="1" applyFill="1" applyBorder="1"/>
    <xf numFmtId="0" fontId="2" fillId="0" borderId="0" xfId="0" applyFont="1"/>
    <xf numFmtId="3" fontId="5" fillId="0" borderId="0" xfId="0" applyNumberFormat="1" applyFont="1"/>
    <xf numFmtId="165" fontId="3" fillId="0" borderId="13" xfId="0" applyNumberFormat="1" applyFont="1" applyBorder="1"/>
    <xf numFmtId="165" fontId="3" fillId="0" borderId="5" xfId="0" applyNumberFormat="1" applyFont="1" applyBorder="1" applyAlignment="1">
      <alignment horizontal="left" vertical="center"/>
    </xf>
    <xf numFmtId="164" fontId="5" fillId="0" borderId="0" xfId="0" applyNumberFormat="1" applyFont="1"/>
    <xf numFmtId="3" fontId="6" fillId="0" borderId="0" xfId="0" applyNumberFormat="1" applyFont="1"/>
    <xf numFmtId="167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a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4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isti&#225;n%20Bravo\Downloads\Control%20Activo%20Fijo%202.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rardo.escudero\Mis%20documentos\SBDF\Reforma%20Tributaria\Renta%20Atribuida\Prototipo\F22%20%202015%20Jose%20Luis%20Capdevi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"/>
      <sheetName val="Crédito IPE"/>
      <sheetName val="RLI"/>
      <sheetName val="F1926 "/>
      <sheetName val="ANEXO N°1 (DDJJ 1847 y 1926)"/>
      <sheetName val="R12"/>
      <sheetName val="Razonabilidad CPT"/>
      <sheetName val="R14"/>
      <sheetName val="RAI Final"/>
      <sheetName val="R13"/>
      <sheetName val="RTRE"/>
      <sheetName val="RTRE (2)"/>
      <sheetName val="R15"/>
      <sheetName val="R16"/>
      <sheetName val="Retiros y situacion Trib."/>
      <sheetName val="F1948"/>
    </sheetNames>
    <sheetDataSet>
      <sheetData sheetId="0">
        <row r="31">
          <cell r="C31" t="str">
            <v>21.03; Multas fiscales, pagadas……………………………………………………………………………………………….………………………………………………………………………….......................................................................</v>
          </cell>
        </row>
        <row r="32">
          <cell r="C32" t="str">
            <v>28.03; Donación Club rayuela …........................................................................................................................................................................................................................................................................</v>
          </cell>
        </row>
        <row r="48">
          <cell r="M48">
            <v>0.13300000000000001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F10">
            <v>89465841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"/>
      <sheetName val="Crédito IPE"/>
      <sheetName val="RLI"/>
      <sheetName val="F1926 "/>
      <sheetName val="ANEXO N°1 (DDJJ 1847 y 1926)"/>
      <sheetName val="R12"/>
      <sheetName val="Razonabilidad CPT"/>
      <sheetName val="R14"/>
      <sheetName val="RAI Final"/>
      <sheetName val="R13"/>
      <sheetName val="RTRE"/>
      <sheetName val="R15"/>
      <sheetName val="R16"/>
      <sheetName val="Retiros y situacion Trib."/>
      <sheetName val="F1948"/>
      <sheetName val="Ejercicio"/>
      <sheetName val="Anexo N°1.1 Saldos 01.01.2020 "/>
      <sheetName val="Anexo N°1 Registro Tributario"/>
      <sheetName val="Anexo 2 Esquema RLI "/>
      <sheetName val="Anexo 3 Retiros en exceso "/>
      <sheetName val="Anexo N°4 Control Deprec. AF"/>
      <sheetName val="Anexo 5 Rentas TG No liquid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>
        <row r="2">
          <cell r="F2">
            <v>38717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Supuestos"/>
      <sheetName val="DDJJ FUT "/>
      <sheetName val="DDJJ Capital"/>
      <sheetName val="Registros"/>
      <sheetName val="Antecedentes"/>
      <sheetName val="Enero de 2017"/>
      <sheetName val="Registrar  AT.-1"/>
      <sheetName val="Febrero 2017"/>
      <sheetName val="Reproceso RLI"/>
      <sheetName val="Reproceso IGC"/>
      <sheetName val="Registrar  AT.Actual"/>
      <sheetName val="AnversoAud"/>
      <sheetName val="ReversoAud"/>
      <sheetName val="R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CODIGO</v>
          </cell>
          <cell r="B1" t="str">
            <v>VALOR</v>
          </cell>
        </row>
        <row r="2">
          <cell r="A2">
            <v>1</v>
          </cell>
          <cell r="B2" t="str">
            <v>CAPDEVILA</v>
          </cell>
        </row>
        <row r="3">
          <cell r="A3">
            <v>2</v>
          </cell>
          <cell r="B3" t="str">
            <v>HONORATO</v>
          </cell>
        </row>
        <row r="4">
          <cell r="A4">
            <v>5</v>
          </cell>
          <cell r="B4" t="str">
            <v>JOSE LUIS</v>
          </cell>
        </row>
        <row r="5">
          <cell r="A5">
            <v>6</v>
          </cell>
          <cell r="B5" t="str">
            <v>VARGAS FONTECILLA 4193- 4199</v>
          </cell>
        </row>
        <row r="6">
          <cell r="A6">
            <v>9</v>
          </cell>
          <cell r="B6">
            <v>7731698</v>
          </cell>
        </row>
        <row r="7">
          <cell r="A7">
            <v>8</v>
          </cell>
          <cell r="B7" t="str">
            <v>QUINTA NORMAL</v>
          </cell>
        </row>
        <row r="8">
          <cell r="A8">
            <v>7</v>
          </cell>
          <cell r="B8">
            <v>240742774</v>
          </cell>
        </row>
        <row r="9">
          <cell r="A9">
            <v>3</v>
          </cell>
          <cell r="B9" t="str">
            <v>4.432.741-4</v>
          </cell>
        </row>
        <row r="10">
          <cell r="A10">
            <v>13</v>
          </cell>
          <cell r="B10" t="str">
            <v>VENTA AL POR MENOR DE COMBUSTIBLE PARA AUTOMOTORES</v>
          </cell>
        </row>
        <row r="11">
          <cell r="A11">
            <v>55</v>
          </cell>
          <cell r="B11" t="str">
            <v>JLCESTACION@JLC.CL</v>
          </cell>
        </row>
        <row r="12">
          <cell r="A12">
            <v>14</v>
          </cell>
          <cell r="B12">
            <v>505000</v>
          </cell>
        </row>
        <row r="13">
          <cell r="A13">
            <v>20</v>
          </cell>
          <cell r="B13">
            <v>133651231</v>
          </cell>
        </row>
        <row r="14">
          <cell r="A14">
            <v>36</v>
          </cell>
          <cell r="B14">
            <v>170000000</v>
          </cell>
        </row>
        <row r="15">
          <cell r="A15">
            <v>101</v>
          </cell>
          <cell r="B15">
            <v>865042582</v>
          </cell>
        </row>
        <row r="16">
          <cell r="A16">
            <v>104</v>
          </cell>
          <cell r="B16">
            <v>70000000</v>
          </cell>
        </row>
        <row r="17">
          <cell r="A17">
            <v>106</v>
          </cell>
          <cell r="B17">
            <v>19909096</v>
          </cell>
        </row>
        <row r="18">
          <cell r="A18">
            <v>123</v>
          </cell>
          <cell r="B18">
            <v>6092136925</v>
          </cell>
        </row>
        <row r="19">
          <cell r="A19">
            <v>152</v>
          </cell>
          <cell r="B19">
            <v>288270</v>
          </cell>
        </row>
        <row r="20">
          <cell r="A20">
            <v>157</v>
          </cell>
          <cell r="B20">
            <v>33959423</v>
          </cell>
        </row>
        <row r="21">
          <cell r="A21">
            <v>159</v>
          </cell>
          <cell r="B21">
            <v>14410393</v>
          </cell>
        </row>
        <row r="22">
          <cell r="A22">
            <v>162</v>
          </cell>
          <cell r="B22">
            <v>607262</v>
          </cell>
        </row>
        <row r="23">
          <cell r="A23">
            <v>170</v>
          </cell>
          <cell r="B23">
            <v>122412874</v>
          </cell>
        </row>
        <row r="24">
          <cell r="A24">
            <v>226</v>
          </cell>
          <cell r="B24">
            <v>70000000</v>
          </cell>
        </row>
        <row r="25">
          <cell r="A25">
            <v>304</v>
          </cell>
          <cell r="B25">
            <v>20932024</v>
          </cell>
        </row>
        <row r="26">
          <cell r="A26">
            <v>312</v>
          </cell>
          <cell r="B26">
            <v>782</v>
          </cell>
        </row>
        <row r="27">
          <cell r="A27">
            <v>600</v>
          </cell>
          <cell r="B27">
            <v>14337349</v>
          </cell>
        </row>
        <row r="28">
          <cell r="A28">
            <v>605</v>
          </cell>
          <cell r="B28">
            <v>8221</v>
          </cell>
        </row>
        <row r="29">
          <cell r="A29">
            <v>608</v>
          </cell>
          <cell r="B29">
            <v>720</v>
          </cell>
        </row>
        <row r="30">
          <cell r="A30">
            <v>614</v>
          </cell>
          <cell r="B30" t="str">
            <v>X</v>
          </cell>
        </row>
        <row r="31">
          <cell r="A31">
            <v>625</v>
          </cell>
          <cell r="B31">
            <v>802529575</v>
          </cell>
        </row>
        <row r="32">
          <cell r="A32">
            <v>627</v>
          </cell>
          <cell r="B32">
            <v>14337349</v>
          </cell>
        </row>
        <row r="33">
          <cell r="A33">
            <v>629</v>
          </cell>
          <cell r="B33">
            <v>272546304</v>
          </cell>
        </row>
        <row r="34">
          <cell r="A34">
            <v>631</v>
          </cell>
          <cell r="B34">
            <v>341666340</v>
          </cell>
        </row>
        <row r="35">
          <cell r="A35">
            <v>635</v>
          </cell>
          <cell r="B35">
            <v>784165723</v>
          </cell>
        </row>
        <row r="36">
          <cell r="A36">
            <v>637</v>
          </cell>
          <cell r="B36">
            <v>78300746</v>
          </cell>
        </row>
        <row r="37">
          <cell r="A37">
            <v>643</v>
          </cell>
          <cell r="B37">
            <v>668256153</v>
          </cell>
        </row>
        <row r="38">
          <cell r="A38">
            <v>647</v>
          </cell>
          <cell r="B38">
            <v>1243087760</v>
          </cell>
        </row>
        <row r="39">
          <cell r="A39">
            <v>774</v>
          </cell>
          <cell r="B39">
            <v>3712875536</v>
          </cell>
        </row>
        <row r="40">
          <cell r="A40">
            <v>785</v>
          </cell>
          <cell r="B40">
            <v>40230808</v>
          </cell>
        </row>
        <row r="41">
          <cell r="A41">
            <v>843</v>
          </cell>
          <cell r="B41">
            <v>3974488503</v>
          </cell>
        </row>
        <row r="42">
          <cell r="A42">
            <v>847</v>
          </cell>
          <cell r="B42">
            <v>14337349</v>
          </cell>
        </row>
        <row r="43">
          <cell r="A43">
            <v>874</v>
          </cell>
          <cell r="B43">
            <v>668256153</v>
          </cell>
        </row>
        <row r="44">
          <cell r="A44">
            <v>926</v>
          </cell>
          <cell r="B44">
            <v>40230808</v>
          </cell>
        </row>
        <row r="45">
          <cell r="A45">
            <v>934</v>
          </cell>
          <cell r="B45">
            <v>136917887</v>
          </cell>
        </row>
        <row r="46">
          <cell r="A46" t="str">
            <v>REMANENTE DE CREDITO</v>
          </cell>
          <cell r="B46">
            <v>0</v>
          </cell>
        </row>
        <row r="47">
          <cell r="A47">
            <v>52</v>
          </cell>
          <cell r="B47">
            <v>85</v>
          </cell>
        </row>
        <row r="48">
          <cell r="A48">
            <v>53</v>
          </cell>
          <cell r="B48">
            <v>86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 t="str">
            <v>DEVOLUCION SOLICITADA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87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 t="str">
            <v>Folio Formulario F01</v>
          </cell>
          <cell r="B61" t="str">
            <v>Fecha de movimiento F01</v>
          </cell>
        </row>
        <row r="62">
          <cell r="A62" t="str">
            <v>Folio rectificatoria</v>
          </cell>
          <cell r="B62" t="str">
            <v>Folio primitiva</v>
          </cell>
        </row>
        <row r="63">
          <cell r="A63">
            <v>0</v>
          </cell>
          <cell r="B63">
            <v>0</v>
          </cell>
        </row>
        <row r="64">
          <cell r="A64" t="str">
            <v xml:space="preserve">Esta copia de declaración no es válida como certificado. 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18</v>
          </cell>
          <cell r="B95">
            <v>668256153</v>
          </cell>
        </row>
        <row r="96">
          <cell r="A96">
            <v>31</v>
          </cell>
          <cell r="B96">
            <v>20932024</v>
          </cell>
        </row>
        <row r="97">
          <cell r="A97">
            <v>53</v>
          </cell>
          <cell r="B97">
            <v>13</v>
          </cell>
        </row>
        <row r="98">
          <cell r="A98">
            <v>102</v>
          </cell>
          <cell r="B98">
            <v>6140228120</v>
          </cell>
        </row>
        <row r="99">
          <cell r="A99">
            <v>105</v>
          </cell>
          <cell r="B99">
            <v>38808</v>
          </cell>
        </row>
        <row r="100">
          <cell r="A100">
            <v>122</v>
          </cell>
          <cell r="B100">
            <v>6652866815</v>
          </cell>
        </row>
        <row r="101">
          <cell r="A101">
            <v>129</v>
          </cell>
          <cell r="B101">
            <v>352510806</v>
          </cell>
        </row>
        <row r="102">
          <cell r="A102">
            <v>155</v>
          </cell>
          <cell r="B102">
            <v>137790</v>
          </cell>
        </row>
        <row r="103">
          <cell r="A103">
            <v>158</v>
          </cell>
          <cell r="B103">
            <v>122412874</v>
          </cell>
        </row>
        <row r="104">
          <cell r="A104">
            <v>161</v>
          </cell>
          <cell r="B104">
            <v>18166429</v>
          </cell>
        </row>
        <row r="105">
          <cell r="A105">
            <v>169</v>
          </cell>
          <cell r="B105">
            <v>537912</v>
          </cell>
        </row>
        <row r="106">
          <cell r="A106">
            <v>225</v>
          </cell>
          <cell r="B106">
            <v>668256153</v>
          </cell>
        </row>
        <row r="107">
          <cell r="A107">
            <v>231</v>
          </cell>
          <cell r="B107">
            <v>4177480459</v>
          </cell>
        </row>
        <row r="108">
          <cell r="A108">
            <v>305</v>
          </cell>
          <cell r="B108">
            <v>-15416745</v>
          </cell>
        </row>
        <row r="109">
          <cell r="A109">
            <v>315</v>
          </cell>
          <cell r="B109">
            <v>8052014</v>
          </cell>
        </row>
        <row r="110">
          <cell r="A110">
            <v>601</v>
          </cell>
          <cell r="B110">
            <v>7848</v>
          </cell>
        </row>
        <row r="111">
          <cell r="A111">
            <v>606</v>
          </cell>
          <cell r="B111">
            <v>57629</v>
          </cell>
        </row>
        <row r="112">
          <cell r="A112">
            <v>610</v>
          </cell>
          <cell r="B112">
            <v>14410327</v>
          </cell>
        </row>
        <row r="113">
          <cell r="A113">
            <v>624</v>
          </cell>
          <cell r="B113">
            <v>107526263</v>
          </cell>
        </row>
        <row r="114">
          <cell r="A114">
            <v>626</v>
          </cell>
          <cell r="B114">
            <v>133651231</v>
          </cell>
        </row>
        <row r="115">
          <cell r="A115">
            <v>628</v>
          </cell>
          <cell r="B115">
            <v>76567411742</v>
          </cell>
        </row>
        <row r="116">
          <cell r="A116">
            <v>630</v>
          </cell>
          <cell r="B116">
            <v>75034864539</v>
          </cell>
        </row>
        <row r="117">
          <cell r="A117">
            <v>632</v>
          </cell>
          <cell r="B117">
            <v>40230808</v>
          </cell>
        </row>
        <row r="118">
          <cell r="A118">
            <v>636</v>
          </cell>
          <cell r="B118">
            <v>639030636</v>
          </cell>
        </row>
        <row r="119">
          <cell r="A119">
            <v>639</v>
          </cell>
          <cell r="B119">
            <v>107526263</v>
          </cell>
        </row>
        <row r="120">
          <cell r="A120">
            <v>645</v>
          </cell>
          <cell r="B120">
            <v>3974488503</v>
          </cell>
        </row>
        <row r="121">
          <cell r="A121">
            <v>749</v>
          </cell>
          <cell r="B121">
            <v>14410393</v>
          </cell>
        </row>
        <row r="122">
          <cell r="A122">
            <v>775</v>
          </cell>
          <cell r="B122">
            <v>110792920</v>
          </cell>
        </row>
        <row r="123">
          <cell r="A123">
            <v>838</v>
          </cell>
          <cell r="B123">
            <v>921843457</v>
          </cell>
        </row>
        <row r="124">
          <cell r="A124">
            <v>844</v>
          </cell>
          <cell r="B124">
            <v>149894480</v>
          </cell>
        </row>
        <row r="125">
          <cell r="A125">
            <v>849</v>
          </cell>
          <cell r="B125">
            <v>170000000</v>
          </cell>
        </row>
        <row r="126">
          <cell r="A126">
            <v>910</v>
          </cell>
          <cell r="B126">
            <v>1990910</v>
          </cell>
        </row>
        <row r="127">
          <cell r="A127">
            <v>927</v>
          </cell>
          <cell r="B127">
            <v>40230808</v>
          </cell>
        </row>
        <row r="128">
          <cell r="A128">
            <v>940</v>
          </cell>
          <cell r="B128">
            <v>122</v>
          </cell>
        </row>
        <row r="129">
          <cell r="A129">
            <v>0</v>
          </cell>
          <cell r="B129" t="str">
            <v>IMPTO. A PAGAR</v>
          </cell>
        </row>
        <row r="130">
          <cell r="A130">
            <v>15416745</v>
          </cell>
          <cell r="B130">
            <v>55</v>
          </cell>
        </row>
        <row r="131">
          <cell r="A131">
            <v>0</v>
          </cell>
          <cell r="B131">
            <v>56</v>
          </cell>
        </row>
        <row r="132">
          <cell r="A132">
            <v>0</v>
          </cell>
          <cell r="B132">
            <v>57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15416745</v>
          </cell>
          <cell r="B139" t="str">
            <v>RECARGOS POR MORA EN EL PAGO</v>
          </cell>
        </row>
        <row r="140">
          <cell r="A140">
            <v>0</v>
          </cell>
          <cell r="B140">
            <v>58</v>
          </cell>
        </row>
        <row r="141">
          <cell r="A141">
            <v>0</v>
          </cell>
          <cell r="B141">
            <v>59</v>
          </cell>
        </row>
        <row r="142">
          <cell r="A142">
            <v>0</v>
          </cell>
          <cell r="B142">
            <v>60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15416745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15416745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9"/>
      <sheetData sheetId="10"/>
      <sheetData sheetId="11"/>
      <sheetData sheetId="12">
        <row r="2">
          <cell r="A2">
            <v>1</v>
          </cell>
          <cell r="B2" t="str">
            <v>CAPDEVILA</v>
          </cell>
        </row>
        <row r="3">
          <cell r="A3">
            <v>2</v>
          </cell>
          <cell r="B3" t="str">
            <v>HONORATO</v>
          </cell>
        </row>
        <row r="4">
          <cell r="A4">
            <v>5</v>
          </cell>
          <cell r="B4" t="str">
            <v>JOSE LUIS</v>
          </cell>
        </row>
        <row r="5">
          <cell r="A5">
            <v>6</v>
          </cell>
          <cell r="B5" t="str">
            <v>VARGAS FONTECILLA 4193- 4199</v>
          </cell>
        </row>
        <row r="6">
          <cell r="A6">
            <v>9</v>
          </cell>
          <cell r="B6">
            <v>7731698</v>
          </cell>
        </row>
        <row r="7">
          <cell r="A7">
            <v>8</v>
          </cell>
          <cell r="B7" t="str">
            <v>QUINTA NORMAL</v>
          </cell>
        </row>
        <row r="8">
          <cell r="A8">
            <v>7</v>
          </cell>
          <cell r="B8">
            <v>234710275</v>
          </cell>
        </row>
        <row r="9">
          <cell r="A9">
            <v>3</v>
          </cell>
          <cell r="B9" t="str">
            <v>4.432.741-4</v>
          </cell>
        </row>
        <row r="10">
          <cell r="A10">
            <v>13</v>
          </cell>
          <cell r="B10" t="str">
            <v>VENTA AL POR MENOR DE COMBUSTIBLE PARA AUTOMOTORES</v>
          </cell>
        </row>
        <row r="11">
          <cell r="A11">
            <v>55</v>
          </cell>
          <cell r="B11" t="str">
            <v>JLCESTACION@JLC.CL</v>
          </cell>
        </row>
        <row r="12">
          <cell r="A12">
            <v>14</v>
          </cell>
          <cell r="B12">
            <v>505000</v>
          </cell>
        </row>
        <row r="13">
          <cell r="A13">
            <v>20</v>
          </cell>
          <cell r="B13">
            <v>169061221</v>
          </cell>
        </row>
        <row r="14">
          <cell r="A14">
            <v>36</v>
          </cell>
          <cell r="B14">
            <v>211624269</v>
          </cell>
        </row>
        <row r="15">
          <cell r="A15">
            <v>101</v>
          </cell>
          <cell r="B15">
            <v>6804780060</v>
          </cell>
        </row>
        <row r="16">
          <cell r="A16">
            <v>104</v>
          </cell>
          <cell r="B16">
            <v>70000000</v>
          </cell>
        </row>
        <row r="17">
          <cell r="A17">
            <v>122</v>
          </cell>
          <cell r="B17">
            <v>10096428698</v>
          </cell>
        </row>
        <row r="18">
          <cell r="A18">
            <v>129</v>
          </cell>
          <cell r="B18">
            <v>643484959</v>
          </cell>
        </row>
        <row r="19">
          <cell r="A19">
            <v>157</v>
          </cell>
          <cell r="B19">
            <v>32726375</v>
          </cell>
        </row>
        <row r="20">
          <cell r="A20">
            <v>159</v>
          </cell>
          <cell r="B20">
            <v>14419550</v>
          </cell>
        </row>
        <row r="21">
          <cell r="A21">
            <v>162</v>
          </cell>
          <cell r="B21">
            <v>667348</v>
          </cell>
        </row>
        <row r="22">
          <cell r="A22">
            <v>225</v>
          </cell>
          <cell r="B22">
            <v>805053431</v>
          </cell>
        </row>
        <row r="23">
          <cell r="A23">
            <v>231</v>
          </cell>
          <cell r="B23">
            <v>4459982927</v>
          </cell>
        </row>
        <row r="24">
          <cell r="A24">
            <v>305</v>
          </cell>
          <cell r="B24">
            <v>-23207586</v>
          </cell>
        </row>
        <row r="25">
          <cell r="A25">
            <v>315</v>
          </cell>
          <cell r="B25">
            <v>30042015</v>
          </cell>
        </row>
        <row r="26">
          <cell r="A26">
            <v>600</v>
          </cell>
          <cell r="B26">
            <v>14337330</v>
          </cell>
        </row>
        <row r="27">
          <cell r="A27">
            <v>610</v>
          </cell>
          <cell r="B27">
            <v>14419550</v>
          </cell>
        </row>
        <row r="28">
          <cell r="A28">
            <v>624</v>
          </cell>
          <cell r="B28">
            <v>138329024</v>
          </cell>
        </row>
        <row r="29">
          <cell r="A29">
            <v>626</v>
          </cell>
          <cell r="B29">
            <v>169061221</v>
          </cell>
        </row>
        <row r="30">
          <cell r="A30">
            <v>628</v>
          </cell>
          <cell r="B30">
            <v>92307030818</v>
          </cell>
        </row>
        <row r="31">
          <cell r="A31">
            <v>631</v>
          </cell>
          <cell r="B31">
            <v>667855260</v>
          </cell>
        </row>
        <row r="32">
          <cell r="A32">
            <v>635</v>
          </cell>
          <cell r="B32">
            <v>1222067834</v>
          </cell>
        </row>
        <row r="33">
          <cell r="A33">
            <v>637</v>
          </cell>
          <cell r="B33">
            <v>153478697</v>
          </cell>
        </row>
        <row r="34">
          <cell r="A34">
            <v>643</v>
          </cell>
          <cell r="B34">
            <v>805053431</v>
          </cell>
        </row>
        <row r="35">
          <cell r="A35">
            <v>647</v>
          </cell>
          <cell r="B35">
            <v>1279022451</v>
          </cell>
        </row>
        <row r="36">
          <cell r="A36">
            <v>749</v>
          </cell>
          <cell r="B36">
            <v>14419550</v>
          </cell>
        </row>
        <row r="37">
          <cell r="A37">
            <v>775</v>
          </cell>
          <cell r="B37">
            <v>148170665</v>
          </cell>
        </row>
        <row r="38">
          <cell r="A38">
            <v>838</v>
          </cell>
          <cell r="B38">
            <v>1017572795</v>
          </cell>
        </row>
        <row r="39">
          <cell r="A39">
            <v>844</v>
          </cell>
          <cell r="B39">
            <v>149894480</v>
          </cell>
        </row>
        <row r="40">
          <cell r="A40">
            <v>849</v>
          </cell>
          <cell r="B40">
            <v>211624269</v>
          </cell>
        </row>
        <row r="41">
          <cell r="A41">
            <v>910</v>
          </cell>
          <cell r="B41">
            <v>1715985</v>
          </cell>
        </row>
        <row r="42">
          <cell r="A42">
            <v>927</v>
          </cell>
          <cell r="B42">
            <v>37707777</v>
          </cell>
        </row>
        <row r="43">
          <cell r="A43" t="str">
            <v>REMANENTE DE CREDITO</v>
          </cell>
          <cell r="B43">
            <v>0</v>
          </cell>
        </row>
        <row r="44">
          <cell r="A44">
            <v>52</v>
          </cell>
          <cell r="B44">
            <v>85</v>
          </cell>
        </row>
        <row r="45">
          <cell r="A45">
            <v>53</v>
          </cell>
          <cell r="B45">
            <v>86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 t="str">
            <v>DEVOLUCION SOLICITADA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87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 t="str">
            <v>Folio Formulario F01</v>
          </cell>
          <cell r="B58" t="str">
            <v>Fecha de movimiento F01</v>
          </cell>
        </row>
        <row r="59">
          <cell r="A59" t="str">
            <v>Folio rectificatoria</v>
          </cell>
          <cell r="B59" t="str">
            <v>Folio primitiva</v>
          </cell>
        </row>
        <row r="60">
          <cell r="A60">
            <v>0</v>
          </cell>
          <cell r="B60">
            <v>0</v>
          </cell>
        </row>
        <row r="61">
          <cell r="A61" t="str">
            <v xml:space="preserve">Esta copia de declaración no es válida como certificado. 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18</v>
          </cell>
          <cell r="B95">
            <v>805053431</v>
          </cell>
        </row>
        <row r="96">
          <cell r="A96">
            <v>31</v>
          </cell>
          <cell r="B96">
            <v>19355462</v>
          </cell>
        </row>
        <row r="97">
          <cell r="A97">
            <v>53</v>
          </cell>
          <cell r="B97">
            <v>13</v>
          </cell>
        </row>
        <row r="98">
          <cell r="A98">
            <v>102</v>
          </cell>
          <cell r="B98">
            <v>9601164052</v>
          </cell>
        </row>
        <row r="99">
          <cell r="A99">
            <v>106</v>
          </cell>
          <cell r="B99">
            <v>17159847</v>
          </cell>
        </row>
        <row r="100">
          <cell r="A100">
            <v>123</v>
          </cell>
          <cell r="B100">
            <v>9437609891</v>
          </cell>
        </row>
        <row r="101">
          <cell r="A101">
            <v>152</v>
          </cell>
          <cell r="B101">
            <v>403075</v>
          </cell>
        </row>
        <row r="102">
          <cell r="A102">
            <v>158</v>
          </cell>
          <cell r="B102">
            <v>121562418</v>
          </cell>
        </row>
        <row r="103">
          <cell r="A103">
            <v>161</v>
          </cell>
          <cell r="B103">
            <v>19579946</v>
          </cell>
        </row>
        <row r="104">
          <cell r="A104">
            <v>170</v>
          </cell>
          <cell r="B104">
            <v>121562418</v>
          </cell>
        </row>
        <row r="105">
          <cell r="A105">
            <v>226</v>
          </cell>
          <cell r="B105">
            <v>70000000</v>
          </cell>
        </row>
        <row r="106">
          <cell r="A106">
            <v>304</v>
          </cell>
          <cell r="B106">
            <v>19355462</v>
          </cell>
        </row>
        <row r="107">
          <cell r="A107">
            <v>312</v>
          </cell>
          <cell r="B107">
            <v>782</v>
          </cell>
        </row>
        <row r="108">
          <cell r="A108">
            <v>318</v>
          </cell>
          <cell r="B108">
            <v>178902862</v>
          </cell>
        </row>
        <row r="109">
          <cell r="A109">
            <v>606</v>
          </cell>
          <cell r="B109">
            <v>82220</v>
          </cell>
        </row>
        <row r="110">
          <cell r="A110">
            <v>614</v>
          </cell>
          <cell r="B110" t="str">
            <v>X</v>
          </cell>
        </row>
        <row r="111">
          <cell r="A111">
            <v>625</v>
          </cell>
          <cell r="B111">
            <v>862848904</v>
          </cell>
        </row>
        <row r="112">
          <cell r="A112">
            <v>627</v>
          </cell>
          <cell r="B112">
            <v>14337330</v>
          </cell>
        </row>
        <row r="113">
          <cell r="A113">
            <v>630</v>
          </cell>
          <cell r="B113">
            <v>89861665539</v>
          </cell>
        </row>
        <row r="114">
          <cell r="A114">
            <v>632</v>
          </cell>
          <cell r="B114">
            <v>37707777</v>
          </cell>
        </row>
        <row r="115">
          <cell r="A115">
            <v>636</v>
          </cell>
          <cell r="B115">
            <v>812297504</v>
          </cell>
        </row>
        <row r="116">
          <cell r="A116">
            <v>639</v>
          </cell>
          <cell r="B116">
            <v>146234624</v>
          </cell>
        </row>
        <row r="117">
          <cell r="A117">
            <v>645</v>
          </cell>
          <cell r="B117">
            <v>4871114998</v>
          </cell>
        </row>
        <row r="118">
          <cell r="A118">
            <v>651</v>
          </cell>
          <cell r="B118">
            <v>294563096</v>
          </cell>
        </row>
        <row r="119">
          <cell r="A119">
            <v>774</v>
          </cell>
          <cell r="B119">
            <v>3893990717</v>
          </cell>
        </row>
        <row r="120">
          <cell r="A120">
            <v>785</v>
          </cell>
          <cell r="B120">
            <v>37707777</v>
          </cell>
        </row>
        <row r="121">
          <cell r="A121">
            <v>843</v>
          </cell>
          <cell r="B121">
            <v>4871114998</v>
          </cell>
        </row>
        <row r="122">
          <cell r="A122">
            <v>847</v>
          </cell>
          <cell r="B122">
            <v>14337330</v>
          </cell>
        </row>
        <row r="123">
          <cell r="A123">
            <v>874</v>
          </cell>
          <cell r="B123">
            <v>805053431</v>
          </cell>
        </row>
        <row r="124">
          <cell r="A124">
            <v>926</v>
          </cell>
          <cell r="B124">
            <v>37707777</v>
          </cell>
        </row>
        <row r="125">
          <cell r="A125">
            <v>940</v>
          </cell>
          <cell r="B125">
            <v>420</v>
          </cell>
        </row>
        <row r="126">
          <cell r="A126">
            <v>0</v>
          </cell>
          <cell r="B126" t="str">
            <v>IMPTO. A PAGAR</v>
          </cell>
        </row>
        <row r="127">
          <cell r="A127">
            <v>23207586</v>
          </cell>
          <cell r="B127">
            <v>55</v>
          </cell>
        </row>
        <row r="128">
          <cell r="A128">
            <v>0</v>
          </cell>
          <cell r="B128">
            <v>56</v>
          </cell>
        </row>
        <row r="129">
          <cell r="A129">
            <v>0</v>
          </cell>
          <cell r="B129">
            <v>57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23207586</v>
          </cell>
          <cell r="B136" t="str">
            <v>RECARGOS POR MORA EN EL PAGO</v>
          </cell>
        </row>
        <row r="137">
          <cell r="A137">
            <v>0</v>
          </cell>
          <cell r="B137">
            <v>58</v>
          </cell>
        </row>
        <row r="138">
          <cell r="A138">
            <v>0</v>
          </cell>
          <cell r="B138">
            <v>59</v>
          </cell>
        </row>
        <row r="139">
          <cell r="A139">
            <v>0</v>
          </cell>
          <cell r="B139">
            <v>60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23207586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23207586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B78A9-6B42-4E78-A5F3-BF9C19E17984}">
  <sheetPr>
    <tabColor rgb="FFFFC000"/>
    <pageSetUpPr fitToPage="1"/>
  </sheetPr>
  <dimension ref="B1:AD60"/>
  <sheetViews>
    <sheetView showGridLines="0" tabSelected="1" topLeftCell="L3" zoomScale="110" zoomScaleNormal="110" zoomScalePageLayoutView="90" workbookViewId="0">
      <selection activeCell="U3" sqref="U3"/>
    </sheetView>
  </sheetViews>
  <sheetFormatPr baseColWidth="10" defaultColWidth="8.7109375" defaultRowHeight="15" x14ac:dyDescent="0.25"/>
  <cols>
    <col min="1" max="1" width="2.7109375" customWidth="1"/>
    <col min="2" max="2" width="3.42578125" style="50" customWidth="1"/>
    <col min="3" max="3" width="12.28515625" style="50" customWidth="1"/>
    <col min="4" max="4" width="11.28515625" style="50" customWidth="1"/>
    <col min="5" max="5" width="15.7109375" style="50" customWidth="1"/>
    <col min="6" max="6" width="13.85546875" style="54" customWidth="1"/>
    <col min="7" max="7" width="14.7109375" style="50" customWidth="1"/>
    <col min="8" max="8" width="14.85546875" style="50" bestFit="1" customWidth="1"/>
    <col min="9" max="9" width="14.140625" style="50" customWidth="1"/>
    <col min="10" max="10" width="12.140625" style="50" bestFit="1" customWidth="1"/>
    <col min="11" max="11" width="12.7109375" style="50" bestFit="1" customWidth="1"/>
    <col min="12" max="12" width="11.28515625" style="50" customWidth="1"/>
    <col min="13" max="13" width="12" style="50" bestFit="1" customWidth="1"/>
    <col min="14" max="14" width="16.7109375" style="50" bestFit="1" customWidth="1"/>
    <col min="15" max="15" width="11.28515625" style="50" customWidth="1"/>
    <col min="16" max="16" width="12" style="50" bestFit="1" customWidth="1"/>
    <col min="17" max="17" width="11.42578125" style="50" customWidth="1"/>
    <col min="18" max="20" width="14.42578125" style="50" customWidth="1"/>
    <col min="21" max="21" width="13.5703125" style="50" customWidth="1"/>
    <col min="22" max="22" width="8.7109375" style="50"/>
    <col min="23" max="23" width="10.85546875" bestFit="1" customWidth="1"/>
    <col min="24" max="24" width="12" bestFit="1" customWidth="1"/>
    <col min="25" max="25" width="15.28515625" customWidth="1"/>
    <col min="26" max="26" width="16.42578125" customWidth="1"/>
    <col min="27" max="27" width="11.42578125" customWidth="1"/>
    <col min="28" max="28" width="11.140625" bestFit="1" customWidth="1"/>
    <col min="29" max="29" width="3.28515625" customWidth="1"/>
    <col min="30" max="30" width="10" bestFit="1" customWidth="1"/>
  </cols>
  <sheetData>
    <row r="1" spans="2:2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5" x14ac:dyDescent="0.2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1"/>
    </row>
    <row r="3" spans="2:25" x14ac:dyDescent="0.25">
      <c r="B3" s="1" t="s">
        <v>1</v>
      </c>
      <c r="C3" s="1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5" x14ac:dyDescent="0.25">
      <c r="B4" s="1"/>
      <c r="C4" s="5" t="s">
        <v>3</v>
      </c>
      <c r="D4" s="5"/>
      <c r="E4" s="5"/>
      <c r="F4" s="5"/>
      <c r="G4" s="5" t="s">
        <v>4</v>
      </c>
      <c r="H4" s="6" t="s">
        <v>5</v>
      </c>
      <c r="I4" s="6" t="s">
        <v>6</v>
      </c>
      <c r="J4" s="6" t="s">
        <v>7</v>
      </c>
      <c r="K4" s="6"/>
      <c r="L4" s="6"/>
      <c r="M4" s="6"/>
      <c r="N4" s="6" t="s">
        <v>8</v>
      </c>
      <c r="O4" s="6"/>
      <c r="P4" s="6"/>
      <c r="Q4" s="6"/>
      <c r="R4" s="6"/>
      <c r="S4" s="6"/>
      <c r="T4" s="6"/>
      <c r="U4" s="6"/>
      <c r="V4" s="1"/>
    </row>
    <row r="5" spans="2:25" ht="36" customHeight="1" x14ac:dyDescent="0.25">
      <c r="B5" s="1"/>
      <c r="C5" s="7"/>
      <c r="D5" s="7"/>
      <c r="E5" s="7"/>
      <c r="F5" s="7"/>
      <c r="G5" s="7"/>
      <c r="H5" s="6"/>
      <c r="I5" s="6"/>
      <c r="J5" s="6" t="s">
        <v>9</v>
      </c>
      <c r="K5" s="8" t="s">
        <v>10</v>
      </c>
      <c r="L5" s="8" t="s">
        <v>11</v>
      </c>
      <c r="M5" s="8" t="s">
        <v>12</v>
      </c>
      <c r="N5" s="9" t="s">
        <v>13</v>
      </c>
      <c r="O5" s="10"/>
      <c r="P5" s="10"/>
      <c r="Q5" s="11"/>
      <c r="R5" s="9" t="s">
        <v>14</v>
      </c>
      <c r="S5" s="10"/>
      <c r="T5" s="11"/>
      <c r="U5" s="6" t="s">
        <v>15</v>
      </c>
      <c r="V5" s="1"/>
    </row>
    <row r="6" spans="2:25" ht="26.25" customHeight="1" x14ac:dyDescent="0.25">
      <c r="B6" s="1"/>
      <c r="C6" s="7"/>
      <c r="D6" s="7"/>
      <c r="E6" s="7"/>
      <c r="F6" s="7"/>
      <c r="G6" s="7"/>
      <c r="H6" s="6"/>
      <c r="I6" s="6"/>
      <c r="J6" s="6"/>
      <c r="K6" s="8"/>
      <c r="L6" s="8"/>
      <c r="M6" s="8"/>
      <c r="N6" s="8" t="s">
        <v>16</v>
      </c>
      <c r="O6" s="8"/>
      <c r="P6" s="8"/>
      <c r="Q6" s="12" t="s">
        <v>17</v>
      </c>
      <c r="R6" s="9" t="s">
        <v>16</v>
      </c>
      <c r="S6" s="10"/>
      <c r="T6" s="11"/>
      <c r="U6" s="6"/>
      <c r="V6" s="1"/>
    </row>
    <row r="7" spans="2:25" x14ac:dyDescent="0.25">
      <c r="B7" s="1"/>
      <c r="C7" s="7"/>
      <c r="D7" s="7"/>
      <c r="E7" s="7"/>
      <c r="F7" s="7"/>
      <c r="G7" s="7"/>
      <c r="H7" s="6"/>
      <c r="I7" s="6"/>
      <c r="J7" s="6"/>
      <c r="K7" s="8"/>
      <c r="L7" s="8"/>
      <c r="M7" s="8"/>
      <c r="N7" s="9" t="s">
        <v>18</v>
      </c>
      <c r="O7" s="11"/>
      <c r="P7" s="13">
        <v>0.369863</v>
      </c>
      <c r="Q7" s="14"/>
      <c r="R7" s="15">
        <f>+TRUNC((R12 + S12) / (T12 + U12),6)</f>
        <v>0.26184800000000003</v>
      </c>
      <c r="S7" s="16"/>
      <c r="T7" s="13"/>
      <c r="U7" s="6"/>
      <c r="V7" s="1"/>
    </row>
    <row r="8" spans="2:25" ht="63.75" x14ac:dyDescent="0.25">
      <c r="B8" s="1"/>
      <c r="C8" s="7"/>
      <c r="D8" s="7"/>
      <c r="E8" s="7"/>
      <c r="F8" s="7"/>
      <c r="G8" s="7"/>
      <c r="H8" s="6"/>
      <c r="I8" s="6"/>
      <c r="J8" s="6"/>
      <c r="K8" s="8"/>
      <c r="L8" s="8"/>
      <c r="M8" s="8"/>
      <c r="N8" s="17" t="s">
        <v>19</v>
      </c>
      <c r="O8" s="9" t="s">
        <v>20</v>
      </c>
      <c r="P8" s="11"/>
      <c r="Q8" s="18"/>
      <c r="R8" s="8" t="s">
        <v>21</v>
      </c>
      <c r="S8" s="8" t="s">
        <v>22</v>
      </c>
      <c r="T8" s="8" t="s">
        <v>23</v>
      </c>
      <c r="U8" s="6"/>
      <c r="V8" s="1"/>
    </row>
    <row r="9" spans="2:25" ht="25.5" x14ac:dyDescent="0.25">
      <c r="B9" s="1"/>
      <c r="C9" s="19"/>
      <c r="D9" s="19"/>
      <c r="E9" s="19"/>
      <c r="F9" s="19"/>
      <c r="G9" s="19"/>
      <c r="H9" s="6"/>
      <c r="I9" s="6"/>
      <c r="J9" s="6"/>
      <c r="K9" s="8"/>
      <c r="L9" s="8"/>
      <c r="M9" s="8"/>
      <c r="N9" s="17" t="s">
        <v>22</v>
      </c>
      <c r="O9" s="17" t="s">
        <v>24</v>
      </c>
      <c r="P9" s="17" t="s">
        <v>22</v>
      </c>
      <c r="Q9" s="17" t="s">
        <v>24</v>
      </c>
      <c r="R9" s="8"/>
      <c r="S9" s="8"/>
      <c r="T9" s="8"/>
      <c r="U9" s="6"/>
      <c r="V9" s="1"/>
    </row>
    <row r="10" spans="2:25" x14ac:dyDescent="0.25">
      <c r="B10" s="1"/>
      <c r="C10" s="20" t="s">
        <v>25</v>
      </c>
      <c r="D10" s="21"/>
      <c r="E10" s="21"/>
      <c r="F10" s="22"/>
      <c r="G10" s="23">
        <f>SUM(H10:M10)</f>
        <v>183112822</v>
      </c>
      <c r="H10" s="23">
        <v>127288905</v>
      </c>
      <c r="I10" s="23">
        <v>28216005</v>
      </c>
      <c r="J10" s="23">
        <v>15148821</v>
      </c>
      <c r="K10" s="23">
        <v>0</v>
      </c>
      <c r="L10" s="23">
        <v>5135025</v>
      </c>
      <c r="M10" s="23">
        <v>7324066</v>
      </c>
      <c r="N10" s="23">
        <v>2752122</v>
      </c>
      <c r="O10" s="23">
        <v>7254954</v>
      </c>
      <c r="P10" s="24">
        <v>2584433</v>
      </c>
      <c r="Q10" s="23">
        <v>1295499</v>
      </c>
      <c r="R10" s="23">
        <v>5523601</v>
      </c>
      <c r="S10" s="23">
        <v>12852665</v>
      </c>
      <c r="T10" s="23">
        <v>1952425</v>
      </c>
      <c r="U10" s="23">
        <v>68226540</v>
      </c>
      <c r="V10" s="1"/>
    </row>
    <row r="11" spans="2:25" x14ac:dyDescent="0.25">
      <c r="B11" s="1"/>
      <c r="C11" s="25" t="s">
        <v>26</v>
      </c>
      <c r="D11" s="1"/>
      <c r="E11" s="1"/>
      <c r="F11" s="26">
        <f>[1]Antecedentes!M48</f>
        <v>0.13300000000000001</v>
      </c>
      <c r="G11" s="23">
        <f>SUM(H11:M11)</f>
        <v>24354005</v>
      </c>
      <c r="H11" s="23">
        <f t="shared" ref="H11:U11" si="0">ROUND(H10*$F$11,0)</f>
        <v>16929424</v>
      </c>
      <c r="I11" s="23">
        <f t="shared" si="0"/>
        <v>3752729</v>
      </c>
      <c r="J11" s="23">
        <f t="shared" si="0"/>
        <v>2014793</v>
      </c>
      <c r="K11" s="23">
        <f t="shared" si="0"/>
        <v>0</v>
      </c>
      <c r="L11" s="23">
        <f t="shared" si="0"/>
        <v>682958</v>
      </c>
      <c r="M11" s="23">
        <f t="shared" si="0"/>
        <v>974101</v>
      </c>
      <c r="N11" s="23">
        <f t="shared" si="0"/>
        <v>366032</v>
      </c>
      <c r="O11" s="23">
        <f t="shared" si="0"/>
        <v>964909</v>
      </c>
      <c r="P11" s="24">
        <f t="shared" si="0"/>
        <v>343730</v>
      </c>
      <c r="Q11" s="23">
        <f t="shared" si="0"/>
        <v>172301</v>
      </c>
      <c r="R11" s="23">
        <f>ROUND(R10*$F$11,0)</f>
        <v>734639</v>
      </c>
      <c r="S11" s="23">
        <f>ROUND(S10*$F$11,0)</f>
        <v>1709404</v>
      </c>
      <c r="T11" s="23">
        <f>ROUND(T10*$F$11,0)</f>
        <v>259673</v>
      </c>
      <c r="U11" s="23">
        <f t="shared" si="0"/>
        <v>9074130</v>
      </c>
      <c r="V11" s="1"/>
    </row>
    <row r="12" spans="2:25" x14ac:dyDescent="0.25">
      <c r="B12" s="27"/>
      <c r="C12" s="28" t="s">
        <v>27</v>
      </c>
      <c r="D12" s="29"/>
      <c r="E12" s="29"/>
      <c r="F12" s="30"/>
      <c r="G12" s="31">
        <f>SUM(G10:G11)</f>
        <v>207466827</v>
      </c>
      <c r="H12" s="31">
        <f t="shared" ref="H12:U12" si="1">SUM(H10:H11)</f>
        <v>144218329</v>
      </c>
      <c r="I12" s="31">
        <f t="shared" si="1"/>
        <v>31968734</v>
      </c>
      <c r="J12" s="31">
        <f t="shared" si="1"/>
        <v>17163614</v>
      </c>
      <c r="K12" s="31">
        <f t="shared" si="1"/>
        <v>0</v>
      </c>
      <c r="L12" s="31">
        <f t="shared" si="1"/>
        <v>5817983</v>
      </c>
      <c r="M12" s="31">
        <f t="shared" si="1"/>
        <v>8298167</v>
      </c>
      <c r="N12" s="31">
        <f t="shared" si="1"/>
        <v>3118154</v>
      </c>
      <c r="O12" s="31">
        <f t="shared" si="1"/>
        <v>8219863</v>
      </c>
      <c r="P12" s="32">
        <f t="shared" si="1"/>
        <v>2928163</v>
      </c>
      <c r="Q12" s="31">
        <f t="shared" si="1"/>
        <v>1467800</v>
      </c>
      <c r="R12" s="31">
        <f>SUM(R10:R11)</f>
        <v>6258240</v>
      </c>
      <c r="S12" s="31">
        <f>SUM(S10:S11)</f>
        <v>14562069</v>
      </c>
      <c r="T12" s="31">
        <f>SUM(T10:T11)</f>
        <v>2212098</v>
      </c>
      <c r="U12" s="31">
        <f t="shared" si="1"/>
        <v>77300670</v>
      </c>
      <c r="V12" s="27"/>
      <c r="W12" t="s">
        <v>63</v>
      </c>
      <c r="Y12" t="s">
        <v>62</v>
      </c>
    </row>
    <row r="13" spans="2:25" x14ac:dyDescent="0.25">
      <c r="B13" s="27"/>
      <c r="C13" s="33"/>
      <c r="D13" s="27"/>
      <c r="E13" s="27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27"/>
      <c r="W13" t="s">
        <v>59</v>
      </c>
      <c r="Y13" t="s">
        <v>61</v>
      </c>
    </row>
    <row r="14" spans="2:25" x14ac:dyDescent="0.25">
      <c r="B14" s="1"/>
      <c r="C14" s="36" t="s">
        <v>28</v>
      </c>
      <c r="D14" s="37"/>
      <c r="E14" s="37"/>
      <c r="F14" s="38"/>
      <c r="G14" s="39">
        <f>SUM(H14:M14)</f>
        <v>-144218329</v>
      </c>
      <c r="H14" s="39">
        <f>-H12</f>
        <v>-144218329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1"/>
      <c r="W14" t="s">
        <v>60</v>
      </c>
    </row>
    <row r="15" spans="2:25" x14ac:dyDescent="0.25">
      <c r="B15" s="1"/>
      <c r="C15" s="40" t="s">
        <v>29</v>
      </c>
      <c r="D15" s="41"/>
      <c r="E15" s="37"/>
      <c r="F15" s="38"/>
      <c r="G15" s="39">
        <f>SUM(H15:M15)</f>
        <v>89465841</v>
      </c>
      <c r="H15" s="39">
        <f>+'[1]RAI Final'!F10</f>
        <v>89465841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1"/>
    </row>
    <row r="16" spans="2:25" x14ac:dyDescent="0.25">
      <c r="B16" s="1"/>
      <c r="C16" s="36" t="s">
        <v>30</v>
      </c>
      <c r="D16" s="37"/>
      <c r="E16" s="37"/>
      <c r="F16" s="38"/>
      <c r="G16" s="39">
        <v>0</v>
      </c>
      <c r="H16" s="39"/>
      <c r="I16" s="39"/>
      <c r="J16" s="39"/>
      <c r="K16" s="39"/>
      <c r="L16" s="39"/>
      <c r="M16" s="39"/>
      <c r="N16" s="39"/>
      <c r="O16" s="39">
        <v>3465422</v>
      </c>
      <c r="P16" s="39">
        <v>20794449</v>
      </c>
      <c r="Q16" s="39">
        <v>1152183</v>
      </c>
      <c r="R16" s="39"/>
      <c r="S16" s="39"/>
      <c r="T16" s="39"/>
      <c r="U16" s="39"/>
      <c r="V16" s="1"/>
    </row>
    <row r="17" spans="2:27" x14ac:dyDescent="0.25">
      <c r="B17" s="1"/>
      <c r="C17" s="36" t="s">
        <v>31</v>
      </c>
      <c r="D17" s="37"/>
      <c r="E17" s="37"/>
      <c r="F17" s="38"/>
      <c r="G17" s="39">
        <v>0</v>
      </c>
      <c r="H17" s="39"/>
      <c r="I17" s="39"/>
      <c r="J17" s="39"/>
      <c r="K17" s="39"/>
      <c r="L17" s="39"/>
      <c r="M17" s="39"/>
      <c r="N17" s="39"/>
      <c r="O17" s="39"/>
      <c r="P17" s="39">
        <v>111111</v>
      </c>
      <c r="Q17" s="39"/>
      <c r="R17" s="39"/>
      <c r="S17" s="39"/>
      <c r="T17" s="39"/>
      <c r="U17" s="39"/>
      <c r="V17" s="1"/>
    </row>
    <row r="18" spans="2:27" x14ac:dyDescent="0.25">
      <c r="B18" s="1"/>
      <c r="C18" s="36"/>
      <c r="D18" s="37"/>
      <c r="E18" s="37"/>
      <c r="F18" s="3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1"/>
      <c r="W18" t="s">
        <v>32</v>
      </c>
    </row>
    <row r="19" spans="2:27" x14ac:dyDescent="0.25">
      <c r="B19" s="27"/>
      <c r="C19" s="42" t="s">
        <v>33</v>
      </c>
      <c r="D19" s="43"/>
      <c r="E19" s="43"/>
      <c r="F19" s="44"/>
      <c r="G19" s="45">
        <f t="shared" ref="G19:U19" si="2">SUM(G12:G17)</f>
        <v>152714339</v>
      </c>
      <c r="H19" s="45">
        <f t="shared" si="2"/>
        <v>89465841</v>
      </c>
      <c r="I19" s="45">
        <f t="shared" si="2"/>
        <v>31968734</v>
      </c>
      <c r="J19" s="45">
        <f t="shared" si="2"/>
        <v>17163614</v>
      </c>
      <c r="K19" s="45">
        <f t="shared" si="2"/>
        <v>0</v>
      </c>
      <c r="L19" s="45">
        <f t="shared" si="2"/>
        <v>5817983</v>
      </c>
      <c r="M19" s="45">
        <f t="shared" si="2"/>
        <v>8298167</v>
      </c>
      <c r="N19" s="45">
        <f t="shared" si="2"/>
        <v>3118154</v>
      </c>
      <c r="O19" s="45">
        <f t="shared" si="2"/>
        <v>11685285</v>
      </c>
      <c r="P19" s="45">
        <f>SUM(P12:P17)</f>
        <v>23833723</v>
      </c>
      <c r="Q19" s="45">
        <f t="shared" si="2"/>
        <v>2619983</v>
      </c>
      <c r="R19" s="45">
        <f t="shared" si="2"/>
        <v>6258240</v>
      </c>
      <c r="S19" s="45">
        <f t="shared" si="2"/>
        <v>14562069</v>
      </c>
      <c r="T19" s="45">
        <f t="shared" si="2"/>
        <v>2212098</v>
      </c>
      <c r="U19" s="45">
        <f t="shared" si="2"/>
        <v>77300670</v>
      </c>
      <c r="V19" s="27"/>
      <c r="W19" s="46">
        <f>+N19</f>
        <v>3118154</v>
      </c>
      <c r="X19" s="46">
        <f>+ROUND(W19 / 0.27 * 0.65,0)</f>
        <v>7506667</v>
      </c>
      <c r="Y19" t="s">
        <v>34</v>
      </c>
    </row>
    <row r="20" spans="2:27" x14ac:dyDescent="0.25">
      <c r="B20" s="1"/>
      <c r="C20" s="36" t="s">
        <v>35</v>
      </c>
      <c r="D20" s="37"/>
      <c r="E20" s="37"/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47"/>
      <c r="Q20" s="38"/>
      <c r="R20" s="39"/>
      <c r="S20" s="39"/>
      <c r="T20" s="39"/>
      <c r="U20" s="39"/>
      <c r="V20" s="1"/>
      <c r="W20" s="46">
        <f>+Q19</f>
        <v>2619983</v>
      </c>
      <c r="X20" s="46">
        <f>+ROUND(W20 / 0.08 * 0.65,0)</f>
        <v>21287362</v>
      </c>
      <c r="Y20" t="s">
        <v>36</v>
      </c>
    </row>
    <row r="21" spans="2:27" x14ac:dyDescent="0.25">
      <c r="B21" s="1"/>
      <c r="C21" s="36" t="s">
        <v>37</v>
      </c>
      <c r="D21" s="37"/>
      <c r="E21" s="37"/>
      <c r="F21" s="38">
        <v>100832000</v>
      </c>
      <c r="G21" s="24"/>
      <c r="H21" s="1"/>
      <c r="I21" s="24"/>
      <c r="J21" s="24"/>
      <c r="K21" s="24"/>
      <c r="L21" s="24"/>
      <c r="M21" s="24"/>
      <c r="N21" s="24"/>
      <c r="O21" s="39"/>
      <c r="P21" s="23"/>
      <c r="Q21" s="1"/>
      <c r="R21" s="24"/>
      <c r="S21" s="24"/>
      <c r="T21" s="24"/>
      <c r="U21" s="24"/>
      <c r="V21" s="1"/>
      <c r="W21" s="46"/>
      <c r="X21" s="46">
        <f>+F21 + J22</f>
        <v>83668386</v>
      </c>
      <c r="Y21" t="s">
        <v>38</v>
      </c>
    </row>
    <row r="22" spans="2:27" x14ac:dyDescent="0.25">
      <c r="B22" s="1"/>
      <c r="C22" s="36" t="s">
        <v>9</v>
      </c>
      <c r="D22" s="37"/>
      <c r="E22" s="37"/>
      <c r="F22" s="38"/>
      <c r="G22" s="24">
        <f>+SUM(H22:M22)</f>
        <v>-17163614</v>
      </c>
      <c r="H22" s="24"/>
      <c r="I22" s="24"/>
      <c r="J22" s="24">
        <v>-17163614</v>
      </c>
      <c r="K22" s="24"/>
      <c r="L22" s="24"/>
      <c r="M22" s="24"/>
      <c r="N22" s="24"/>
      <c r="O22" s="39"/>
      <c r="P22" s="39"/>
      <c r="Q22" s="38"/>
      <c r="R22" s="24"/>
      <c r="S22" s="24"/>
      <c r="T22" s="24"/>
      <c r="U22" s="24"/>
      <c r="V22" s="1"/>
      <c r="W22" s="46"/>
      <c r="X22" s="46">
        <f>+H19</f>
        <v>89465841</v>
      </c>
      <c r="Y22" t="s">
        <v>5</v>
      </c>
    </row>
    <row r="23" spans="2:27" x14ac:dyDescent="0.25">
      <c r="B23" s="1"/>
      <c r="C23" s="36" t="s">
        <v>39</v>
      </c>
      <c r="D23" s="37"/>
      <c r="E23" s="37"/>
      <c r="F23" s="38"/>
      <c r="G23" s="24">
        <f>+SUM(H23:M23)</f>
        <v>-7506667</v>
      </c>
      <c r="H23" s="24">
        <f>-MIN(X19:X22)</f>
        <v>-7506667</v>
      </c>
      <c r="I23" s="24"/>
      <c r="J23" s="24"/>
      <c r="K23" s="24"/>
      <c r="L23" s="24"/>
      <c r="M23" s="24"/>
      <c r="N23" s="24">
        <f>+ROUND(H23 / 0.65 * 0.27,0)</f>
        <v>-3118154</v>
      </c>
      <c r="O23" s="39"/>
      <c r="P23" s="39"/>
      <c r="Q23" s="38">
        <f>+ROUND(H23 / 0.65 * 0.08,0)</f>
        <v>-923897</v>
      </c>
      <c r="R23" s="24"/>
      <c r="S23" s="24"/>
      <c r="T23" s="24"/>
      <c r="U23" s="24"/>
      <c r="V23" s="1"/>
    </row>
    <row r="24" spans="2:27" x14ac:dyDescent="0.25">
      <c r="B24" s="1"/>
      <c r="C24" s="36" t="s">
        <v>40</v>
      </c>
      <c r="D24" s="37"/>
      <c r="E24" s="37"/>
      <c r="F24" s="38"/>
      <c r="G24" s="24">
        <f>+SUM(H24:M24)</f>
        <v>-13780699</v>
      </c>
      <c r="H24" s="24">
        <f>-MIN(X24:X27)</f>
        <v>-13780699</v>
      </c>
      <c r="I24" s="24"/>
      <c r="J24" s="24"/>
      <c r="K24" s="24"/>
      <c r="L24" s="24"/>
      <c r="M24" s="24"/>
      <c r="N24" s="24"/>
      <c r="O24" s="39">
        <f>+ROUND(H24 / 0.65 * 0.27,0)</f>
        <v>-5724290</v>
      </c>
      <c r="P24" s="39"/>
      <c r="Q24" s="38">
        <f>+ROUND(H24 / 0.65 * 0.08,0)</f>
        <v>-1696086</v>
      </c>
      <c r="R24" s="24"/>
      <c r="S24" s="24"/>
      <c r="T24" s="24"/>
      <c r="U24" s="24"/>
      <c r="V24" s="1"/>
      <c r="W24" s="46">
        <f>+O19</f>
        <v>11685285</v>
      </c>
      <c r="X24" s="46">
        <f>+ROUND(W24 / 0.27 * 0.65,0)</f>
        <v>28131242</v>
      </c>
      <c r="Y24" t="s">
        <v>41</v>
      </c>
    </row>
    <row r="25" spans="2:27" x14ac:dyDescent="0.25">
      <c r="B25" s="1"/>
      <c r="C25" s="36" t="s">
        <v>42</v>
      </c>
      <c r="D25" s="37"/>
      <c r="E25" s="37"/>
      <c r="F25" s="38"/>
      <c r="G25" s="24">
        <f>+SUM(H25:M25)</f>
        <v>-16116765</v>
      </c>
      <c r="H25" s="24">
        <f>-MIN(X29:X31)</f>
        <v>-16116765</v>
      </c>
      <c r="I25" s="24"/>
      <c r="J25" s="24"/>
      <c r="K25" s="24"/>
      <c r="L25" s="24"/>
      <c r="M25" s="24"/>
      <c r="N25" s="24"/>
      <c r="O25" s="39">
        <f>+ROUND(H25 * 0.369863,0)</f>
        <v>-5960995</v>
      </c>
      <c r="P25" s="39"/>
      <c r="Q25" s="38"/>
      <c r="R25" s="24"/>
      <c r="S25" s="24"/>
      <c r="T25" s="24"/>
      <c r="U25" s="24"/>
      <c r="V25" s="1"/>
      <c r="W25" s="46">
        <f>+Q19 + Q23</f>
        <v>1696086</v>
      </c>
      <c r="X25" s="46">
        <f>+ROUND(W25 / 0.08 * 0.65,0)</f>
        <v>13780699</v>
      </c>
      <c r="Y25" t="s">
        <v>36</v>
      </c>
    </row>
    <row r="26" spans="2:27" x14ac:dyDescent="0.25">
      <c r="B26" s="1"/>
      <c r="C26" s="36" t="s">
        <v>43</v>
      </c>
      <c r="D26" s="37"/>
      <c r="E26" s="37"/>
      <c r="F26" s="38"/>
      <c r="G26" s="24">
        <f>+SUM(H26:M26)</f>
        <v>-46264255</v>
      </c>
      <c r="H26" s="24">
        <f>-MIN(X33:X35)</f>
        <v>-46264255</v>
      </c>
      <c r="I26" s="24"/>
      <c r="J26" s="24"/>
      <c r="K26" s="24"/>
      <c r="L26" s="24"/>
      <c r="M26" s="24"/>
      <c r="N26" s="24"/>
      <c r="O26" s="39"/>
      <c r="P26" s="39">
        <f>+ROUND(H26 * 0.369863,0)</f>
        <v>-17111436</v>
      </c>
      <c r="Q26" s="38"/>
      <c r="R26" s="24"/>
      <c r="S26" s="24"/>
      <c r="T26" s="24"/>
      <c r="U26" s="24"/>
      <c r="V26" s="1"/>
      <c r="W26" s="46"/>
      <c r="X26" s="46">
        <f>+F21 + J22 + H23</f>
        <v>76161719</v>
      </c>
      <c r="Y26" t="s">
        <v>38</v>
      </c>
    </row>
    <row r="27" spans="2:27" x14ac:dyDescent="0.25">
      <c r="B27" s="1"/>
      <c r="C27" s="36"/>
      <c r="D27" s="37"/>
      <c r="E27" s="37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48"/>
      <c r="R27" s="24"/>
      <c r="S27" s="24"/>
      <c r="T27" s="24"/>
      <c r="U27" s="24"/>
      <c r="V27" s="1"/>
      <c r="W27" s="46"/>
      <c r="X27" s="46">
        <f>+H19 + H23</f>
        <v>81959174</v>
      </c>
      <c r="Y27" t="s">
        <v>5</v>
      </c>
      <c r="AA27" s="46"/>
    </row>
    <row r="28" spans="2:27" x14ac:dyDescent="0.25">
      <c r="B28" s="1"/>
      <c r="C28" s="36" t="s">
        <v>44</v>
      </c>
      <c r="D28" s="37"/>
      <c r="E28" s="37"/>
      <c r="F28" s="38">
        <v>100832000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48"/>
      <c r="R28" s="24"/>
      <c r="S28" s="24"/>
      <c r="T28" s="24"/>
      <c r="U28" s="24"/>
      <c r="V28" s="1"/>
      <c r="X28" s="49"/>
      <c r="AA28" s="46"/>
    </row>
    <row r="29" spans="2:27" x14ac:dyDescent="0.25">
      <c r="B29" s="1"/>
      <c r="C29" s="36" t="s">
        <v>43</v>
      </c>
      <c r="D29" s="37"/>
      <c r="E29" s="37"/>
      <c r="F29" s="38"/>
      <c r="G29" s="24">
        <f>+SUM(H29:M29)</f>
        <v>-5797455</v>
      </c>
      <c r="H29" s="24">
        <f>-MIN(X39:X41)</f>
        <v>-5797455</v>
      </c>
      <c r="I29" s="24"/>
      <c r="J29" s="24"/>
      <c r="K29" s="24"/>
      <c r="L29" s="24"/>
      <c r="M29" s="24"/>
      <c r="N29" s="24"/>
      <c r="O29" s="24"/>
      <c r="P29" s="24">
        <f>+ROUND(H29 * 0.369863,0)</f>
        <v>-2144264</v>
      </c>
      <c r="Q29" s="48"/>
      <c r="R29" s="24"/>
      <c r="S29" s="24"/>
      <c r="T29" s="24"/>
      <c r="U29" s="24"/>
      <c r="V29" s="1"/>
      <c r="W29" s="46">
        <f>+O19 + O24</f>
        <v>5960995</v>
      </c>
      <c r="X29" s="46">
        <f>+ROUND(W29 / 0.369863,0)</f>
        <v>16116765</v>
      </c>
      <c r="Y29" t="s">
        <v>41</v>
      </c>
    </row>
    <row r="30" spans="2:27" x14ac:dyDescent="0.25">
      <c r="B30" s="1"/>
      <c r="C30" s="36" t="s">
        <v>45</v>
      </c>
      <c r="D30" s="37"/>
      <c r="E30" s="37"/>
      <c r="F30" s="38"/>
      <c r="G30" s="24">
        <f>+SUM(H30:M30)</f>
        <v>-12377618</v>
      </c>
      <c r="H30" s="24"/>
      <c r="I30" s="24">
        <f>-MIN(X43:X45)</f>
        <v>-12377618</v>
      </c>
      <c r="J30" s="24"/>
      <c r="K30" s="24"/>
      <c r="L30" s="24"/>
      <c r="M30" s="24"/>
      <c r="N30" s="24"/>
      <c r="O30" s="24"/>
      <c r="P30" s="24">
        <f>+ROUND(I30 * 0.369863,0)</f>
        <v>-4578023</v>
      </c>
      <c r="Q30" s="48"/>
      <c r="R30" s="24"/>
      <c r="S30" s="24"/>
      <c r="T30" s="24"/>
      <c r="U30" s="24"/>
      <c r="V30" s="1"/>
      <c r="W30" s="46"/>
      <c r="X30" s="46">
        <f>+F21 + J22 + H23 + H24</f>
        <v>62381020</v>
      </c>
      <c r="Y30" t="s">
        <v>38</v>
      </c>
      <c r="AA30" s="46"/>
    </row>
    <row r="31" spans="2:27" x14ac:dyDescent="0.25">
      <c r="B31" s="1"/>
      <c r="C31" s="36" t="s">
        <v>46</v>
      </c>
      <c r="D31" s="37"/>
      <c r="E31" s="37"/>
      <c r="F31" s="38"/>
      <c r="G31" s="24">
        <f>+SUM(H31:M31)</f>
        <v>-19591116</v>
      </c>
      <c r="H31" s="24"/>
      <c r="I31" s="24">
        <f>-MIN(X47:X50)</f>
        <v>-19591116</v>
      </c>
      <c r="J31" s="24"/>
      <c r="K31" s="24"/>
      <c r="L31" s="24"/>
      <c r="M31" s="24"/>
      <c r="N31" s="24"/>
      <c r="O31" s="24"/>
      <c r="P31" s="24"/>
      <c r="Q31" s="48"/>
      <c r="R31" s="24">
        <f>+ROUND(I31 / $AD$46 * $AD$44,0)</f>
        <v>-5705892</v>
      </c>
      <c r="S31" s="24"/>
      <c r="T31" s="24">
        <f>+ROUND(I31 / $AD$46 * $AD$45,0)</f>
        <v>-2199740</v>
      </c>
      <c r="U31" s="24">
        <f>+I31</f>
        <v>-19591116</v>
      </c>
      <c r="V31" s="1"/>
      <c r="W31" s="46"/>
      <c r="X31" s="46">
        <f>+H19 + H23 + H24</f>
        <v>68178475</v>
      </c>
      <c r="Y31" t="s">
        <v>5</v>
      </c>
      <c r="AA31" s="46"/>
    </row>
    <row r="32" spans="2:27" x14ac:dyDescent="0.25">
      <c r="B32" s="1"/>
      <c r="C32" s="36" t="s">
        <v>47</v>
      </c>
      <c r="D32" s="37"/>
      <c r="E32" s="37"/>
      <c r="F32" s="38"/>
      <c r="G32" s="24">
        <f>+SUM(H32:M32)</f>
        <v>-5817983</v>
      </c>
      <c r="H32" s="24"/>
      <c r="I32" s="24"/>
      <c r="J32" s="24"/>
      <c r="K32" s="24"/>
      <c r="L32" s="24">
        <v>-5817983</v>
      </c>
      <c r="M32" s="24"/>
      <c r="N32" s="24"/>
      <c r="O32" s="24"/>
      <c r="P32" s="24"/>
      <c r="Q32" s="48"/>
      <c r="R32" s="24"/>
      <c r="S32" s="24"/>
      <c r="T32" s="24"/>
      <c r="U32" s="24"/>
      <c r="V32" s="1"/>
      <c r="AA32" s="46"/>
    </row>
    <row r="33" spans="2:30" x14ac:dyDescent="0.25">
      <c r="B33" s="1"/>
      <c r="C33" s="36" t="s">
        <v>48</v>
      </c>
      <c r="D33" s="37"/>
      <c r="E33" s="37"/>
      <c r="F33" s="38"/>
      <c r="G33" s="24">
        <f>+SUM(H33:M33)</f>
        <v>-8298167</v>
      </c>
      <c r="H33" s="24"/>
      <c r="I33" s="24"/>
      <c r="J33" s="24"/>
      <c r="K33" s="24"/>
      <c r="L33" s="24"/>
      <c r="M33" s="24">
        <v>-8298167</v>
      </c>
      <c r="N33" s="24"/>
      <c r="O33" s="24"/>
      <c r="P33" s="24"/>
      <c r="Q33" s="48"/>
      <c r="R33" s="24"/>
      <c r="S33" s="24"/>
      <c r="T33" s="24"/>
      <c r="U33" s="24"/>
      <c r="V33" s="1"/>
      <c r="W33" s="46">
        <f>+P19</f>
        <v>23833723</v>
      </c>
      <c r="X33" s="46">
        <f>+ROUND(W33 / 0.369863,0)</f>
        <v>64439328</v>
      </c>
      <c r="Y33" t="s">
        <v>49</v>
      </c>
      <c r="AA33" s="46"/>
    </row>
    <row r="34" spans="2:30" x14ac:dyDescent="0.25">
      <c r="B34" s="1"/>
      <c r="C34" s="36" t="s">
        <v>50</v>
      </c>
      <c r="D34" s="37"/>
      <c r="E34" s="37"/>
      <c r="F34" s="38">
        <f>+MIN(X52:X54)</f>
        <v>110062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48"/>
      <c r="R34" s="24">
        <f>-ROUND(F34 / $AD$46 * $AD$44,0)</f>
        <v>-32055</v>
      </c>
      <c r="S34" s="24"/>
      <c r="T34" s="24">
        <f>-ROUND(F34 / $AD$46 * $AD$45,0)</f>
        <v>-12358</v>
      </c>
      <c r="U34" s="24">
        <f>-F34</f>
        <v>-110062</v>
      </c>
      <c r="V34" s="1"/>
      <c r="W34" s="46"/>
      <c r="X34" s="46">
        <f>+F21+J22+H23+H24+H25</f>
        <v>46264255</v>
      </c>
      <c r="Y34" t="s">
        <v>38</v>
      </c>
    </row>
    <row r="35" spans="2:30" x14ac:dyDescent="0.25">
      <c r="B35" s="1"/>
      <c r="C35" s="36" t="s">
        <v>51</v>
      </c>
      <c r="D35" s="37"/>
      <c r="E35" s="37"/>
      <c r="F35" s="38">
        <f>+MIN(X56:X57)</f>
        <v>1987004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48"/>
      <c r="R35" s="24">
        <f>-ROUND(F35 * AD43,0)</f>
        <v>-520293</v>
      </c>
      <c r="S35" s="24"/>
      <c r="T35" s="24"/>
      <c r="U35" s="24">
        <f>-F35</f>
        <v>-1987004</v>
      </c>
      <c r="V35" s="1"/>
      <c r="W35" s="46"/>
      <c r="X35" s="46">
        <f>+H19 + H23 + H24 + H25</f>
        <v>52061710</v>
      </c>
      <c r="Y35" t="s">
        <v>5</v>
      </c>
      <c r="AA35" s="46"/>
    </row>
    <row r="36" spans="2:30" x14ac:dyDescent="0.25">
      <c r="B36" s="1"/>
      <c r="C36" s="36" t="s">
        <v>52</v>
      </c>
      <c r="D36" s="37"/>
      <c r="E36" s="37"/>
      <c r="F36" s="38">
        <f>+MIN(X59:X60)</f>
        <v>46852595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48"/>
      <c r="R36" s="24"/>
      <c r="S36" s="24">
        <f>-ROUND(F36 * AD43,0)</f>
        <v>-12268258</v>
      </c>
      <c r="T36" s="24"/>
      <c r="U36" s="24">
        <f>-F36</f>
        <v>-46852595</v>
      </c>
      <c r="V36" s="1"/>
      <c r="W36" s="46"/>
      <c r="X36" s="46"/>
      <c r="AA36" s="46"/>
    </row>
    <row r="37" spans="2:30" x14ac:dyDescent="0.25">
      <c r="B37" s="1"/>
      <c r="C37" s="36"/>
      <c r="D37" s="37"/>
      <c r="E37" s="37"/>
      <c r="F37" s="38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8"/>
      <c r="R37" s="39"/>
      <c r="S37" s="39"/>
      <c r="T37" s="39"/>
      <c r="U37" s="39"/>
      <c r="V37" s="1"/>
      <c r="W37" s="46"/>
      <c r="X37" s="46"/>
      <c r="AA37" s="46"/>
    </row>
    <row r="38" spans="2:30" x14ac:dyDescent="0.25">
      <c r="B38" s="1"/>
      <c r="C38" s="36" t="s">
        <v>53</v>
      </c>
      <c r="D38" s="37"/>
      <c r="E38" s="37"/>
      <c r="F38" s="38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8"/>
      <c r="R38" s="39"/>
      <c r="S38" s="39"/>
      <c r="T38" s="39"/>
      <c r="U38" s="39"/>
      <c r="V38" s="1"/>
      <c r="W38" t="s">
        <v>54</v>
      </c>
    </row>
    <row r="39" spans="2:30" x14ac:dyDescent="0.25">
      <c r="C39" s="36" t="str">
        <f>[1]Antecedentes!C31</f>
        <v>21.03; Multas fiscales, pagadas……………………………………………………………………………………………….………………………………………………………………………….......................................................................</v>
      </c>
      <c r="D39" s="37"/>
      <c r="E39" s="37"/>
      <c r="F39" s="38">
        <v>5452823</v>
      </c>
      <c r="G39" s="39">
        <v>0</v>
      </c>
      <c r="H39" s="39"/>
      <c r="I39" s="39"/>
      <c r="J39" s="39"/>
      <c r="K39" s="39"/>
      <c r="L39" s="39"/>
      <c r="M39" s="39"/>
      <c r="N39" s="39"/>
      <c r="O39" s="39"/>
      <c r="P39" s="39">
        <f>-ROUND(F39*P7,0)</f>
        <v>-2016797</v>
      </c>
      <c r="Q39" s="37"/>
      <c r="R39" s="39"/>
      <c r="S39" s="39"/>
      <c r="T39" s="39"/>
      <c r="U39" s="39"/>
      <c r="W39" s="46">
        <f>+P19 + P26</f>
        <v>6722287</v>
      </c>
      <c r="X39" s="46">
        <f>+ROUND(W39 / 0.369863,0)</f>
        <v>18175073</v>
      </c>
      <c r="Y39" t="s">
        <v>49</v>
      </c>
    </row>
    <row r="40" spans="2:30" x14ac:dyDescent="0.25">
      <c r="C40" s="36" t="str">
        <f>[1]Antecedentes!C32</f>
        <v>28.03; Donación Club rayuela …........................................................................................................................................................................................................................................................................</v>
      </c>
      <c r="D40" s="51"/>
      <c r="E40" s="51"/>
      <c r="F40" s="38">
        <v>21811004</v>
      </c>
      <c r="G40" s="39"/>
      <c r="H40" s="39"/>
      <c r="I40" s="39"/>
      <c r="J40" s="39"/>
      <c r="K40" s="39"/>
      <c r="L40" s="39"/>
      <c r="M40" s="39"/>
      <c r="N40" s="39"/>
      <c r="O40" s="39"/>
      <c r="P40" s="39">
        <f>-ROUND(F40*P7,0)</f>
        <v>-8067083</v>
      </c>
      <c r="Q40" s="37"/>
      <c r="R40" s="39"/>
      <c r="S40" s="39"/>
      <c r="T40" s="39"/>
      <c r="U40" s="39"/>
      <c r="X40" s="46">
        <f>+F28</f>
        <v>100832000</v>
      </c>
      <c r="Y40" t="s">
        <v>38</v>
      </c>
    </row>
    <row r="41" spans="2:30" x14ac:dyDescent="0.25">
      <c r="C41" s="52" t="s">
        <v>55</v>
      </c>
      <c r="D41" s="52"/>
      <c r="E41" s="52"/>
      <c r="F41" s="52"/>
      <c r="G41" s="45">
        <f t="shared" ref="G41:U41" si="3">SUM(G19:G40)</f>
        <v>0</v>
      </c>
      <c r="H41" s="45">
        <f t="shared" si="3"/>
        <v>0</v>
      </c>
      <c r="I41" s="45">
        <f t="shared" si="3"/>
        <v>0</v>
      </c>
      <c r="J41" s="45">
        <f t="shared" si="3"/>
        <v>0</v>
      </c>
      <c r="K41" s="45">
        <f t="shared" si="3"/>
        <v>0</v>
      </c>
      <c r="L41" s="45">
        <f t="shared" si="3"/>
        <v>0</v>
      </c>
      <c r="M41" s="45">
        <f t="shared" si="3"/>
        <v>0</v>
      </c>
      <c r="N41" s="45">
        <f t="shared" si="3"/>
        <v>0</v>
      </c>
      <c r="O41" s="45">
        <f t="shared" si="3"/>
        <v>0</v>
      </c>
      <c r="P41" s="45">
        <f t="shared" si="3"/>
        <v>-10083880</v>
      </c>
      <c r="Q41" s="45">
        <f t="shared" si="3"/>
        <v>0</v>
      </c>
      <c r="R41" s="45">
        <f t="shared" si="3"/>
        <v>0</v>
      </c>
      <c r="S41" s="45">
        <f t="shared" si="3"/>
        <v>2293811</v>
      </c>
      <c r="T41" s="45">
        <f t="shared" si="3"/>
        <v>0</v>
      </c>
      <c r="U41" s="45">
        <f t="shared" si="3"/>
        <v>8759893</v>
      </c>
      <c r="V41" s="53">
        <f>+TRUNC(S41 / U41,6)</f>
        <v>0.261853</v>
      </c>
      <c r="X41" s="46">
        <f>+H19 + H23 + H24 + H25 + H26</f>
        <v>5797455</v>
      </c>
      <c r="Y41" t="s">
        <v>5</v>
      </c>
    </row>
    <row r="42" spans="2:30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AB42">
        <v>2017</v>
      </c>
      <c r="AD42">
        <v>2016</v>
      </c>
    </row>
    <row r="43" spans="2:30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W43" s="46">
        <f>+P19 + P26 + P29</f>
        <v>4578023</v>
      </c>
      <c r="X43" s="46">
        <f>+ROUND(W43 / 0.369863,0)</f>
        <v>12377618</v>
      </c>
      <c r="Y43" t="s">
        <v>49</v>
      </c>
      <c r="AB43">
        <v>0.369863</v>
      </c>
      <c r="AD43">
        <f>+TRUNC((R19 + S19) / (T19 + U19),6)</f>
        <v>0.26184800000000003</v>
      </c>
    </row>
    <row r="44" spans="2:30" x14ac:dyDescent="0.25">
      <c r="X44" s="46">
        <f>+F28 + G29</f>
        <v>95034545</v>
      </c>
      <c r="Y44" t="s">
        <v>38</v>
      </c>
      <c r="AB44">
        <f>+ROUND(AB43 / ( 1 + AB43),2)</f>
        <v>0.27</v>
      </c>
      <c r="AD44" s="55">
        <f>AD43 / ( 1 + AD43)</f>
        <v>0.20751152278245874</v>
      </c>
    </row>
    <row r="45" spans="2:30" x14ac:dyDescent="0.25">
      <c r="X45" s="46">
        <f>+I19</f>
        <v>31968734</v>
      </c>
      <c r="Y45" t="s">
        <v>6</v>
      </c>
      <c r="AB45">
        <v>0.08</v>
      </c>
      <c r="AD45">
        <v>0.08</v>
      </c>
    </row>
    <row r="46" spans="2:30" x14ac:dyDescent="0.25">
      <c r="AB46">
        <f>1 - AB44 - AB45</f>
        <v>0.65</v>
      </c>
      <c r="AD46">
        <f>1 - AD44 - AD45</f>
        <v>0.71248847721754127</v>
      </c>
    </row>
    <row r="47" spans="2:30" x14ac:dyDescent="0.25">
      <c r="W47" s="46">
        <f>+R19</f>
        <v>6258240</v>
      </c>
      <c r="X47" s="46">
        <f>+ROUND(W47 / $AD$44 * $AD$46,0)</f>
        <v>21487597</v>
      </c>
      <c r="Y47" t="s">
        <v>56</v>
      </c>
    </row>
    <row r="48" spans="2:30" x14ac:dyDescent="0.25">
      <c r="W48" s="46">
        <f>+T19</f>
        <v>2212098</v>
      </c>
      <c r="X48" s="46">
        <f>+ROUND(W48 / $AD$45 * $AD$46,0)</f>
        <v>19701179</v>
      </c>
      <c r="Y48" t="s">
        <v>57</v>
      </c>
    </row>
    <row r="49" spans="23:25" x14ac:dyDescent="0.25">
      <c r="X49" s="46">
        <f>+F28 + G29 + G30</f>
        <v>82656927</v>
      </c>
      <c r="Y49" t="s">
        <v>38</v>
      </c>
    </row>
    <row r="50" spans="23:25" x14ac:dyDescent="0.25">
      <c r="X50" s="46">
        <f>+I19 + I30</f>
        <v>19591116</v>
      </c>
      <c r="Y50" t="s">
        <v>6</v>
      </c>
    </row>
    <row r="52" spans="23:25" x14ac:dyDescent="0.25">
      <c r="W52" s="46">
        <f>+R19 + R31</f>
        <v>552348</v>
      </c>
      <c r="X52" s="46">
        <f>+ROUND(W52 / $AD$44 * $AD$46,0)</f>
        <v>1896481</v>
      </c>
      <c r="Y52" t="s">
        <v>56</v>
      </c>
    </row>
    <row r="53" spans="23:25" x14ac:dyDescent="0.25">
      <c r="W53" s="46">
        <f>+T19 + T31</f>
        <v>12358</v>
      </c>
      <c r="X53" s="46">
        <f>+ROUND(W53 / $AD$45 * $AD$46,0)</f>
        <v>110062</v>
      </c>
      <c r="Y53" t="s">
        <v>57</v>
      </c>
    </row>
    <row r="54" spans="23:25" x14ac:dyDescent="0.25">
      <c r="X54" s="46">
        <f>+F28 + G29 + G30 + G31 + G32 + G33</f>
        <v>48949661</v>
      </c>
      <c r="Y54" t="s">
        <v>38</v>
      </c>
    </row>
    <row r="56" spans="23:25" x14ac:dyDescent="0.25">
      <c r="W56" s="46">
        <f>+R19 + R31 + R34</f>
        <v>520293</v>
      </c>
      <c r="X56" s="46">
        <f>+ROUND(W56 / $AD$43,0)</f>
        <v>1987004</v>
      </c>
      <c r="Y56" t="s">
        <v>56</v>
      </c>
    </row>
    <row r="57" spans="23:25" x14ac:dyDescent="0.25">
      <c r="X57" s="46">
        <f>+F28 + G29 + G30 + G31 + G32 + G33 - F34</f>
        <v>48839599</v>
      </c>
      <c r="Y57" t="s">
        <v>38</v>
      </c>
    </row>
    <row r="59" spans="23:25" x14ac:dyDescent="0.25">
      <c r="W59" s="46">
        <f>+S19</f>
        <v>14562069</v>
      </c>
      <c r="X59" s="46">
        <f>+ROUND(W59 / AD43,0)</f>
        <v>55612680</v>
      </c>
      <c r="Y59" t="s">
        <v>58</v>
      </c>
    </row>
    <row r="60" spans="23:25" x14ac:dyDescent="0.25">
      <c r="X60" s="46">
        <f>+F28 + G29 + G30 + G31 + G32 + G33 - F34 - F35</f>
        <v>46852595</v>
      </c>
      <c r="Y60" t="s">
        <v>38</v>
      </c>
    </row>
  </sheetData>
  <mergeCells count="25">
    <mergeCell ref="R8:R9"/>
    <mergeCell ref="S8:S9"/>
    <mergeCell ref="T8:T9"/>
    <mergeCell ref="C19:F19"/>
    <mergeCell ref="C41:F41"/>
    <mergeCell ref="M5:M9"/>
    <mergeCell ref="N5:Q5"/>
    <mergeCell ref="R5:T5"/>
    <mergeCell ref="U5:U9"/>
    <mergeCell ref="N6:P6"/>
    <mergeCell ref="Q6:Q8"/>
    <mergeCell ref="R6:T6"/>
    <mergeCell ref="N7:O7"/>
    <mergeCell ref="R7:S7"/>
    <mergeCell ref="O8:P8"/>
    <mergeCell ref="B2:U2"/>
    <mergeCell ref="C4:F9"/>
    <mergeCell ref="G4:G9"/>
    <mergeCell ref="H4:H9"/>
    <mergeCell ref="I4:I9"/>
    <mergeCell ref="J4:M4"/>
    <mergeCell ref="N4:U4"/>
    <mergeCell ref="J5:J9"/>
    <mergeCell ref="K5:K9"/>
    <mergeCell ref="L5:L9"/>
  </mergeCells>
  <pageMargins left="0.31" right="0.63" top="0.46" bottom="0.45" header="0.31496062992125984" footer="0.31496062992125984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Ejercicio</vt:lpstr>
      <vt:lpstr>Ejercicio!Área_de_impresión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Patricio Adasme Poblete</dc:creator>
  <cp:lastModifiedBy>Ricardo Patricio Adasme Poblete</cp:lastModifiedBy>
  <dcterms:created xsi:type="dcterms:W3CDTF">2024-04-18T13:54:28Z</dcterms:created>
  <dcterms:modified xsi:type="dcterms:W3CDTF">2024-04-18T18:36:27Z</dcterms:modified>
</cp:coreProperties>
</file>